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3.xml" ContentType="application/vnd.openxmlformats-officedocument.drawing+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4.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5.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6.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7.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8.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drawings/drawing9.xml" ContentType="application/vnd.openxmlformats-officedocument.drawing+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drawings/drawing10.xml" ContentType="application/vnd.openxmlformats-officedocument.drawing+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drawings/drawing11.xml" ContentType="application/vnd.openxmlformats-officedocument.drawing+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N9 Fleet &amp; Family Readiness\N9_Restricted\N92\N921 Fitness\1_Private_Restricted\N921D - Deployed Forces Support and Afloat\AFLOAT &amp; DFS STANDARDS\AFLOAT STANDARDS 2021\"/>
    </mc:Choice>
  </mc:AlternateContent>
  <bookViews>
    <workbookView xWindow="0" yWindow="140" windowWidth="28800" windowHeight="11870"/>
  </bookViews>
  <sheets>
    <sheet name="Introduction" sheetId="26" r:id="rId1"/>
    <sheet name="Position Descriptions" sheetId="24" r:id="rId2"/>
    <sheet name="Definitions" sheetId="39" r:id="rId3"/>
    <sheet name="1.1 Staffing" sheetId="1" r:id="rId4"/>
    <sheet name="1.2 Staff Qualifications" sheetId="2" r:id="rId5"/>
    <sheet name="1.3 Staff Training" sheetId="3" r:id="rId6"/>
    <sheet name="2.1 Square Footage" sheetId="4" r:id="rId7"/>
    <sheet name="2.2 Facility Quality" sheetId="6" r:id="rId8"/>
    <sheet name="3.1 Recreation Programming" sheetId="19" r:id="rId9"/>
    <sheet name="3.2 Fitness Programming" sheetId="18" r:id="rId10"/>
    <sheet name="4.1 Recreation Equipment" sheetId="38" r:id="rId11"/>
    <sheet name="4.2 Fitness Equipment" sheetId="10" r:id="rId12"/>
    <sheet name="5.1 Administration" sheetId="9" r:id="rId13"/>
    <sheet name="Scoring Matrix" sheetId="13" r:id="rId14"/>
    <sheet name="Rec activity &amp; SQFT master" sheetId="31" state="hidden" r:id="rId15"/>
    <sheet name="Fitness acty master" sheetId="32" state="hidden" r:id="rId16"/>
    <sheet name="Revised Fit Equipment" sheetId="41" state="hidden" r:id="rId17"/>
  </sheets>
  <definedNames>
    <definedName name="cardio_tbl">'Revised Fit Equipment'!$B$57:$C$69</definedName>
    <definedName name="fitbesthomeport">'Fitness acty master'!$K$51:$O$63</definedName>
    <definedName name="fitbestshipyard">'Fitness acty master'!$R$51:$V$63</definedName>
    <definedName name="fitbestunderway">'Fitness acty master'!$B$51:$F$63</definedName>
    <definedName name="fitbetterhomeport">'Fitness acty master'!$K$68:$O$80</definedName>
    <definedName name="fitbettershipyard">'Fitness acty master'!$R$68:$V$80</definedName>
    <definedName name="fitbetterunderway">'Fitness acty master'!$B$68:$F$80</definedName>
    <definedName name="fitgoodhomeport">'Fitness acty master'!$K$85:$O$97</definedName>
    <definedName name="fitgoodshipyard">'Fitness acty master'!$R$85:$V$97</definedName>
    <definedName name="fitgoodunderway">'Fitness acty master'!$B$85:$F$97</definedName>
    <definedName name="plate_tbl">'Revised Fit Equipment'!$B$100:$C$112</definedName>
    <definedName name="_xlnm.Print_Area" localSheetId="4">'1.2 Staff Qualifications'!$A$1:$G$16</definedName>
    <definedName name="_xlnm.Print_Area" localSheetId="9">'3.2 Fitness Programming'!$A$1:$G$69</definedName>
    <definedName name="_xlnm.Print_Area" localSheetId="11">'4.2 Fitness Equipment'!$A$1:$H$78</definedName>
    <definedName name="_xlnm.Print_Area" localSheetId="12">'5.1 Administration'!$A$1:$G$27</definedName>
    <definedName name="_xlnm.Print_Area" localSheetId="15">'Fitness acty master'!#REF!</definedName>
    <definedName name="_xlnm.Print_Area" localSheetId="14">'Rec activity &amp; SQFT master'!$A$1:$V$69</definedName>
    <definedName name="_xlnm.Print_Area" localSheetId="16">'Revised Fit Equipment'!$A$56:$I$113</definedName>
    <definedName name="recbesthomeport">'Rec activity &amp; SQFT master'!$I$5:$N$17</definedName>
    <definedName name="recbestshipyard">'Rec activity &amp; SQFT master'!$P$5:$U$17</definedName>
    <definedName name="recbestunderway">'Rec activity &amp; SQFT master'!$B$5:$G$17</definedName>
    <definedName name="recbetterhomeport">'Rec activity &amp; SQFT master'!$I$21:$N$33</definedName>
    <definedName name="recbettershipyard">'Rec activity &amp; SQFT master'!$P$21:$U$33</definedName>
    <definedName name="recbetterunderway">'Rec activity &amp; SQFT master'!$B$21:$G$33</definedName>
    <definedName name="recgoodhomeport">'Rec activity &amp; SQFT master'!$I$37:$N$49</definedName>
    <definedName name="recgoodshipyard">'Rec activity &amp; SQFT master'!$P$37:$U$49</definedName>
    <definedName name="recgoodunderway">'Rec activity &amp; SQFT master'!$B$37:$G$49</definedName>
    <definedName name="ship_type">Introduction!$B$71</definedName>
    <definedName name="shiptbl">Introduction!$A$74:$B$86</definedName>
    <definedName name="shiptypenum">Introduction!$A$71</definedName>
    <definedName name="sqft_tbl">'Rec activity &amp; SQFT master'!$B$56:$G$68</definedName>
    <definedName name="stack_tbl">'Revised Fit Equipment'!$B$86:$C$98</definedName>
    <definedName name="strength_tbl">'Revised Fit Equipment'!$B$72:$H$84</definedName>
  </definedNames>
  <calcPr calcId="162913"/>
</workbook>
</file>

<file path=xl/calcChain.xml><?xml version="1.0" encoding="utf-8"?>
<calcChain xmlns="http://schemas.openxmlformats.org/spreadsheetml/2006/main">
  <c r="E97" i="10" l="1"/>
  <c r="F95" i="10" l="1"/>
  <c r="F94" i="10" l="1"/>
  <c r="F93" i="10"/>
  <c r="F92" i="10"/>
  <c r="F89" i="10"/>
  <c r="I88" i="10"/>
  <c r="F88" i="10"/>
  <c r="E88" i="10"/>
  <c r="I87" i="10"/>
  <c r="F87" i="10"/>
  <c r="E87" i="10"/>
  <c r="I86" i="10"/>
  <c r="F86" i="10"/>
  <c r="F84" i="10"/>
  <c r="I83" i="10"/>
  <c r="F83" i="10"/>
  <c r="E83" i="10"/>
  <c r="I82" i="10"/>
  <c r="F82" i="10"/>
  <c r="E82" i="10"/>
  <c r="I81" i="10"/>
  <c r="J83" i="10" s="1"/>
  <c r="H82" i="10" s="1"/>
  <c r="F81" i="10"/>
  <c r="F79" i="10"/>
  <c r="F67" i="10"/>
  <c r="F65" i="10"/>
  <c r="F29" i="10"/>
  <c r="C25" i="10"/>
  <c r="C24" i="10"/>
  <c r="F23" i="10"/>
  <c r="F16" i="10"/>
  <c r="F13" i="10"/>
  <c r="F9" i="10"/>
  <c r="F8" i="10"/>
  <c r="C8" i="10"/>
  <c r="G2" i="10"/>
  <c r="J88" i="10" l="1"/>
  <c r="H87" i="10" s="1"/>
  <c r="F97" i="10"/>
  <c r="D97" i="10" s="1"/>
  <c r="I18" i="9"/>
  <c r="I16" i="9"/>
  <c r="I15" i="9"/>
  <c r="I14" i="9"/>
  <c r="AR5" i="13" l="1"/>
  <c r="J18" i="9"/>
  <c r="H18" i="9" s="1"/>
  <c r="J15" i="9"/>
  <c r="H15" i="9" s="1"/>
  <c r="I60" i="18" l="1"/>
  <c r="I59" i="18"/>
  <c r="I58" i="18"/>
  <c r="I57" i="18"/>
  <c r="I56" i="18"/>
  <c r="I55" i="18"/>
  <c r="I54" i="18"/>
  <c r="I53" i="18"/>
  <c r="I52" i="18"/>
  <c r="I51" i="18"/>
  <c r="I50" i="18"/>
  <c r="I49" i="18"/>
  <c r="I48" i="18"/>
  <c r="I47" i="18"/>
  <c r="I46" i="18"/>
  <c r="I40" i="18"/>
  <c r="I39" i="18"/>
  <c r="I38" i="18"/>
  <c r="J40" i="18" s="1"/>
  <c r="H39" i="18" s="1"/>
  <c r="I37" i="18"/>
  <c r="I36" i="18"/>
  <c r="I35" i="18"/>
  <c r="I34" i="18"/>
  <c r="I33" i="18"/>
  <c r="I32" i="18"/>
  <c r="I31" i="18"/>
  <c r="I30" i="18"/>
  <c r="I29" i="18"/>
  <c r="I28" i="18"/>
  <c r="I27" i="18"/>
  <c r="I26" i="18"/>
  <c r="I20" i="18"/>
  <c r="I19" i="18"/>
  <c r="I18" i="18"/>
  <c r="I17" i="18"/>
  <c r="I16" i="18"/>
  <c r="I15" i="18"/>
  <c r="I14" i="18"/>
  <c r="I13" i="18"/>
  <c r="I12" i="18"/>
  <c r="I11" i="18"/>
  <c r="I10" i="18"/>
  <c r="I9" i="18"/>
  <c r="I63" i="19"/>
  <c r="I62" i="19"/>
  <c r="I61" i="19"/>
  <c r="I60" i="19"/>
  <c r="I59" i="19"/>
  <c r="I58" i="19"/>
  <c r="I57" i="19"/>
  <c r="I56" i="19"/>
  <c r="I55" i="19"/>
  <c r="I54" i="19"/>
  <c r="I53" i="19"/>
  <c r="I52" i="19"/>
  <c r="I51" i="19"/>
  <c r="I50" i="19"/>
  <c r="I49" i="19"/>
  <c r="I41" i="19"/>
  <c r="I40" i="19"/>
  <c r="I39" i="19"/>
  <c r="I38" i="19"/>
  <c r="I37" i="19"/>
  <c r="I36" i="19"/>
  <c r="I35" i="19"/>
  <c r="I34" i="19"/>
  <c r="I33" i="19"/>
  <c r="I32" i="19"/>
  <c r="I31" i="19"/>
  <c r="I30" i="19"/>
  <c r="I29" i="19"/>
  <c r="I28" i="19"/>
  <c r="I27" i="19"/>
  <c r="I19" i="19"/>
  <c r="I18" i="19"/>
  <c r="I17" i="19"/>
  <c r="I16" i="19"/>
  <c r="I15" i="19"/>
  <c r="I14" i="19"/>
  <c r="I13" i="19"/>
  <c r="I12" i="19"/>
  <c r="I11" i="19"/>
  <c r="J54" i="19" l="1"/>
  <c r="H53" i="19" s="1"/>
  <c r="J37" i="18"/>
  <c r="H36" i="18" s="1"/>
  <c r="J48" i="18"/>
  <c r="H47" i="18" s="1"/>
  <c r="J60" i="18"/>
  <c r="H59" i="18" s="1"/>
  <c r="J57" i="18"/>
  <c r="H56" i="18" s="1"/>
  <c r="J54" i="18"/>
  <c r="H53" i="18" s="1"/>
  <c r="J51" i="18"/>
  <c r="H50" i="18" s="1"/>
  <c r="J34" i="18"/>
  <c r="H33" i="18" s="1"/>
  <c r="J31" i="18"/>
  <c r="H30" i="18" s="1"/>
  <c r="J28" i="18"/>
  <c r="H27" i="18" s="1"/>
  <c r="J20" i="18"/>
  <c r="H19" i="18" s="1"/>
  <c r="J17" i="18"/>
  <c r="H16" i="18" s="1"/>
  <c r="J14" i="18"/>
  <c r="H13" i="18" s="1"/>
  <c r="J11" i="18"/>
  <c r="H10" i="18" s="1"/>
  <c r="J63" i="19"/>
  <c r="H62" i="19" s="1"/>
  <c r="J60" i="19"/>
  <c r="H59" i="19" s="1"/>
  <c r="J57" i="19"/>
  <c r="H56" i="19" s="1"/>
  <c r="J41" i="19"/>
  <c r="H40" i="19" s="1"/>
  <c r="J38" i="19"/>
  <c r="H37" i="19" s="1"/>
  <c r="J35" i="19"/>
  <c r="H34" i="19" s="1"/>
  <c r="J32" i="19"/>
  <c r="H31" i="19" s="1"/>
  <c r="J29" i="19"/>
  <c r="H28" i="19" s="1"/>
  <c r="J19" i="19"/>
  <c r="H18" i="19" s="1"/>
  <c r="J16" i="19"/>
  <c r="H15" i="19" s="1"/>
  <c r="J13" i="19"/>
  <c r="H12" i="19" s="1"/>
  <c r="J51" i="19"/>
  <c r="H50" i="19" s="1"/>
  <c r="I9" i="19"/>
  <c r="I10" i="19"/>
  <c r="I8" i="19"/>
  <c r="J10" i="19" l="1"/>
  <c r="H9" i="19" s="1"/>
  <c r="F47" i="18"/>
  <c r="F48" i="18"/>
  <c r="F49" i="18"/>
  <c r="F50" i="18"/>
  <c r="F51" i="18"/>
  <c r="F52" i="18"/>
  <c r="F53" i="18"/>
  <c r="F54" i="18"/>
  <c r="F55" i="18"/>
  <c r="F56" i="18"/>
  <c r="F57" i="18"/>
  <c r="F58" i="18"/>
  <c r="F59" i="18"/>
  <c r="F60" i="18"/>
  <c r="F46" i="18"/>
  <c r="F27" i="18"/>
  <c r="F28" i="18"/>
  <c r="F29" i="18"/>
  <c r="F30" i="18"/>
  <c r="F31" i="18"/>
  <c r="F32" i="18"/>
  <c r="F33" i="18"/>
  <c r="F34" i="18"/>
  <c r="F35" i="18"/>
  <c r="F36" i="18"/>
  <c r="F37" i="18"/>
  <c r="F38" i="18"/>
  <c r="F39" i="18"/>
  <c r="F40" i="18"/>
  <c r="F26" i="18"/>
  <c r="F10" i="18"/>
  <c r="F11" i="18"/>
  <c r="F12" i="18"/>
  <c r="F13" i="18"/>
  <c r="F14" i="18"/>
  <c r="F15" i="18"/>
  <c r="F16" i="18"/>
  <c r="F17" i="18"/>
  <c r="F18" i="18"/>
  <c r="F19" i="18"/>
  <c r="F20" i="18"/>
  <c r="F9" i="18"/>
  <c r="F50" i="19"/>
  <c r="F51" i="19"/>
  <c r="F52" i="19"/>
  <c r="F53" i="19"/>
  <c r="F54" i="19"/>
  <c r="F55" i="19"/>
  <c r="F56" i="19"/>
  <c r="F57" i="19"/>
  <c r="F58" i="19"/>
  <c r="F59" i="19"/>
  <c r="F60" i="19"/>
  <c r="F61" i="19"/>
  <c r="F62" i="19"/>
  <c r="F63" i="19"/>
  <c r="F49" i="19"/>
  <c r="F28" i="19"/>
  <c r="F29" i="19"/>
  <c r="F30" i="19"/>
  <c r="F31" i="19"/>
  <c r="F32" i="19"/>
  <c r="F33" i="19"/>
  <c r="F34" i="19"/>
  <c r="F35" i="19"/>
  <c r="F36" i="19"/>
  <c r="F37" i="19"/>
  <c r="F38" i="19"/>
  <c r="F39" i="19"/>
  <c r="F40" i="19"/>
  <c r="F41" i="19"/>
  <c r="F27" i="19"/>
  <c r="F9" i="19"/>
  <c r="F10" i="19"/>
  <c r="F11" i="19"/>
  <c r="F12" i="19"/>
  <c r="F13" i="19"/>
  <c r="F14" i="19"/>
  <c r="F15" i="19"/>
  <c r="F16" i="19"/>
  <c r="F17" i="19"/>
  <c r="F18" i="19"/>
  <c r="F19" i="19"/>
  <c r="F8" i="19"/>
  <c r="AI70" i="13" l="1"/>
  <c r="AH70" i="13"/>
  <c r="X70" i="13"/>
  <c r="B70" i="13"/>
  <c r="D70" i="13" s="1"/>
  <c r="AI69" i="13"/>
  <c r="AH69" i="13"/>
  <c r="X69" i="13"/>
  <c r="B69" i="13"/>
  <c r="D69" i="13" s="1"/>
  <c r="AI68" i="13"/>
  <c r="AH68" i="13"/>
  <c r="X68" i="13"/>
  <c r="B68" i="13"/>
  <c r="D68" i="13" s="1"/>
  <c r="AI67" i="13"/>
  <c r="AH67" i="13"/>
  <c r="X67" i="13"/>
  <c r="B67" i="13"/>
  <c r="D67" i="13" s="1"/>
  <c r="AI66" i="13"/>
  <c r="AH66" i="13"/>
  <c r="X66" i="13"/>
  <c r="B66" i="13"/>
  <c r="D66" i="13" s="1"/>
  <c r="AI65" i="13"/>
  <c r="AH65" i="13"/>
  <c r="X65" i="13"/>
  <c r="B65" i="13"/>
  <c r="D65" i="13" s="1"/>
  <c r="AI64" i="13"/>
  <c r="AH64" i="13"/>
  <c r="X64" i="13"/>
  <c r="B64" i="13"/>
  <c r="D64" i="13" s="1"/>
  <c r="AI63" i="13"/>
  <c r="AH63" i="13"/>
  <c r="X63" i="13"/>
  <c r="B63" i="13"/>
  <c r="D63" i="13" s="1"/>
  <c r="AI62" i="13"/>
  <c r="AH62" i="13"/>
  <c r="X62" i="13"/>
  <c r="B62" i="13"/>
  <c r="D62" i="13" s="1"/>
  <c r="AI61" i="13"/>
  <c r="AH61" i="13"/>
  <c r="X61" i="13"/>
  <c r="B61" i="13"/>
  <c r="D61" i="13" s="1"/>
  <c r="AM60" i="13"/>
  <c r="AI60" i="13"/>
  <c r="AI71" i="13" s="1"/>
  <c r="AH60" i="13"/>
  <c r="AH71" i="13" s="1"/>
  <c r="X60" i="13"/>
  <c r="B60" i="13"/>
  <c r="D60" i="13" s="1"/>
  <c r="F52" i="13"/>
  <c r="F51" i="13"/>
  <c r="F50" i="13"/>
  <c r="F49" i="13"/>
  <c r="F48" i="13"/>
  <c r="F47" i="13"/>
  <c r="F53" i="13" l="1"/>
  <c r="D71" i="13"/>
  <c r="E67" i="19" l="1"/>
  <c r="E45" i="19"/>
  <c r="G2" i="3" l="1"/>
  <c r="E8" i="3"/>
  <c r="E9" i="3"/>
  <c r="E10" i="3"/>
  <c r="D12" i="3"/>
  <c r="E12" i="3" l="1"/>
  <c r="C12" i="3" s="1"/>
  <c r="W5" i="13" s="1"/>
  <c r="W70" i="13" l="1"/>
  <c r="AA70" i="13" s="1"/>
  <c r="W69" i="13"/>
  <c r="AA69" i="13" s="1"/>
  <c r="W61" i="13"/>
  <c r="AA61" i="13" s="1"/>
  <c r="W60" i="13"/>
  <c r="AA60" i="13" s="1"/>
  <c r="W66" i="13"/>
  <c r="AA66" i="13" s="1"/>
  <c r="W63" i="13"/>
  <c r="AA63" i="13" s="1"/>
  <c r="W67" i="13"/>
  <c r="AA67" i="13" s="1"/>
  <c r="W64" i="13"/>
  <c r="AA64" i="13" s="1"/>
  <c r="W68" i="13"/>
  <c r="AA68" i="13" s="1"/>
  <c r="W65" i="13"/>
  <c r="AA65" i="13" s="1"/>
  <c r="W62" i="13"/>
  <c r="AA62" i="13" s="1"/>
  <c r="E23" i="19"/>
  <c r="F43" i="19"/>
  <c r="AA71" i="13" l="1"/>
  <c r="W19" i="13" s="1"/>
  <c r="B71" i="26"/>
  <c r="B2" i="26" s="1"/>
  <c r="G2" i="19"/>
  <c r="C57" i="19" l="1"/>
  <c r="C35" i="19"/>
  <c r="C8" i="4"/>
  <c r="C11" i="4"/>
  <c r="C9" i="4"/>
  <c r="C10" i="4"/>
  <c r="C8" i="19"/>
  <c r="C62" i="19"/>
  <c r="C60" i="19"/>
  <c r="C58" i="19"/>
  <c r="C55" i="19"/>
  <c r="C53" i="19"/>
  <c r="C41" i="19"/>
  <c r="C39" i="19"/>
  <c r="C37" i="19"/>
  <c r="C34" i="19"/>
  <c r="C32" i="19"/>
  <c r="C30" i="19"/>
  <c r="C18" i="19"/>
  <c r="C16" i="19"/>
  <c r="C15" i="19"/>
  <c r="C12" i="19"/>
  <c r="C63" i="19"/>
  <c r="C61" i="19"/>
  <c r="C59" i="19"/>
  <c r="C56" i="19"/>
  <c r="C54" i="19"/>
  <c r="C52" i="19"/>
  <c r="C40" i="19"/>
  <c r="C38" i="19"/>
  <c r="C36" i="19"/>
  <c r="C33" i="19"/>
  <c r="C31" i="19"/>
  <c r="C19" i="19"/>
  <c r="C17" i="19"/>
  <c r="C14" i="19"/>
  <c r="C13" i="19"/>
  <c r="C11" i="19"/>
  <c r="G2" i="9"/>
  <c r="F2" i="38"/>
  <c r="G2" i="18"/>
  <c r="G2" i="6"/>
  <c r="G2" i="4"/>
  <c r="G2" i="2"/>
  <c r="E22" i="38" l="1"/>
  <c r="E23" i="38"/>
  <c r="E22" i="18" l="1"/>
  <c r="F21" i="19"/>
  <c r="E2" i="1" l="1"/>
  <c r="C57" i="18" l="1"/>
  <c r="C56" i="18"/>
  <c r="C55" i="18"/>
  <c r="C54" i="18"/>
  <c r="C53" i="18"/>
  <c r="C52" i="18"/>
  <c r="C51" i="18"/>
  <c r="C50" i="18"/>
  <c r="C49" i="18"/>
  <c r="C48" i="18"/>
  <c r="C47" i="18"/>
  <c r="C46" i="18"/>
  <c r="C26" i="18"/>
  <c r="C37" i="18"/>
  <c r="C36" i="18"/>
  <c r="C35" i="18"/>
  <c r="C34" i="18"/>
  <c r="C33" i="18"/>
  <c r="C32" i="18"/>
  <c r="C31" i="18"/>
  <c r="C30" i="18"/>
  <c r="C29" i="18"/>
  <c r="C28" i="18"/>
  <c r="C27" i="18"/>
  <c r="C20" i="18"/>
  <c r="C19" i="18"/>
  <c r="C18" i="18"/>
  <c r="C17" i="18"/>
  <c r="C16" i="18"/>
  <c r="C15" i="18"/>
  <c r="C14" i="18"/>
  <c r="C13" i="18"/>
  <c r="C12" i="18"/>
  <c r="C9" i="18"/>
  <c r="C11" i="18"/>
  <c r="C10" i="18"/>
  <c r="C51" i="19" l="1"/>
  <c r="C50" i="19"/>
  <c r="C49" i="19"/>
  <c r="C29" i="19"/>
  <c r="C28" i="19"/>
  <c r="C27" i="19"/>
  <c r="C10" i="19"/>
  <c r="C9" i="19"/>
  <c r="E14" i="38" l="1"/>
  <c r="D193" i="1"/>
  <c r="D192" i="1"/>
  <c r="D191" i="1"/>
  <c r="D190" i="1"/>
  <c r="D189" i="1"/>
  <c r="D188" i="1"/>
  <c r="D187" i="1"/>
  <c r="D180" i="1"/>
  <c r="D179" i="1"/>
  <c r="D178" i="1"/>
  <c r="D177" i="1"/>
  <c r="D176" i="1"/>
  <c r="D175" i="1"/>
  <c r="D174" i="1"/>
  <c r="D167" i="1"/>
  <c r="D166" i="1"/>
  <c r="D165" i="1"/>
  <c r="D164" i="1"/>
  <c r="D163" i="1"/>
  <c r="D162" i="1"/>
  <c r="D161" i="1"/>
  <c r="D154" i="1"/>
  <c r="D153" i="1"/>
  <c r="D152" i="1"/>
  <c r="D151" i="1"/>
  <c r="D150" i="1"/>
  <c r="D149" i="1"/>
  <c r="D148" i="1"/>
  <c r="D142" i="1"/>
  <c r="D141" i="1"/>
  <c r="D140" i="1"/>
  <c r="D139" i="1"/>
  <c r="D138" i="1"/>
  <c r="D137" i="1"/>
  <c r="D136" i="1"/>
  <c r="D135" i="1"/>
  <c r="D134" i="1"/>
  <c r="C130" i="1"/>
  <c r="D124" i="1"/>
  <c r="D123" i="1"/>
  <c r="D122" i="1"/>
  <c r="D120" i="1"/>
  <c r="D119" i="1"/>
  <c r="D118" i="1"/>
  <c r="D117" i="1"/>
  <c r="D116" i="1"/>
  <c r="D108" i="1"/>
  <c r="D107" i="1"/>
  <c r="D106" i="1"/>
  <c r="D105" i="1"/>
  <c r="D104" i="1"/>
  <c r="D103" i="1"/>
  <c r="D102" i="1"/>
  <c r="D101" i="1"/>
  <c r="D100" i="1"/>
  <c r="D99" i="1"/>
  <c r="D98" i="1"/>
  <c r="D97" i="1"/>
  <c r="D96" i="1"/>
  <c r="D95" i="1"/>
  <c r="D85" i="1"/>
  <c r="D84" i="1"/>
  <c r="D83" i="1"/>
  <c r="D82" i="1"/>
  <c r="D81" i="1"/>
  <c r="D80" i="1"/>
  <c r="D79" i="1"/>
  <c r="D77" i="1"/>
  <c r="D76" i="1"/>
  <c r="D75" i="1"/>
  <c r="D74" i="1"/>
  <c r="D73" i="1"/>
  <c r="D72" i="1"/>
  <c r="D71" i="1"/>
  <c r="D70" i="1"/>
  <c r="D60" i="1"/>
  <c r="D59" i="1"/>
  <c r="D58" i="1"/>
  <c r="D57" i="1"/>
  <c r="D56" i="1"/>
  <c r="D55" i="1"/>
  <c r="D54" i="1"/>
  <c r="D52" i="1"/>
  <c r="D51" i="1"/>
  <c r="D50" i="1"/>
  <c r="D49" i="1"/>
  <c r="D48" i="1"/>
  <c r="D47" i="1"/>
  <c r="D46" i="1"/>
  <c r="D45" i="1"/>
  <c r="D44" i="1"/>
  <c r="D43" i="1"/>
  <c r="D42" i="1"/>
  <c r="D41" i="1"/>
  <c r="D40" i="1"/>
  <c r="D11" i="1"/>
  <c r="D12" i="1"/>
  <c r="D13" i="1"/>
  <c r="D14" i="1"/>
  <c r="D15" i="1"/>
  <c r="D16" i="1"/>
  <c r="D17" i="1"/>
  <c r="D18" i="1"/>
  <c r="D19" i="1"/>
  <c r="D20" i="1"/>
  <c r="D21" i="1"/>
  <c r="D22" i="1"/>
  <c r="D23" i="1"/>
  <c r="D24" i="1"/>
  <c r="D26" i="1"/>
  <c r="D27" i="1"/>
  <c r="D28" i="1"/>
  <c r="D29" i="1"/>
  <c r="D30" i="1"/>
  <c r="D31" i="1"/>
  <c r="D32" i="1"/>
  <c r="D156" i="1" l="1"/>
  <c r="B156" i="1" s="1"/>
  <c r="D195" i="1"/>
  <c r="B195" i="1" s="1"/>
  <c r="D182" i="1"/>
  <c r="B182" i="1" s="1"/>
  <c r="D169" i="1"/>
  <c r="B169" i="1" s="1"/>
  <c r="D130" i="1"/>
  <c r="B130" i="1" s="1"/>
  <c r="D144" i="1"/>
  <c r="B144" i="1" s="1"/>
  <c r="D110" i="1"/>
  <c r="B110" i="1" s="1"/>
  <c r="D87" i="1"/>
  <c r="B87" i="1" s="1"/>
  <c r="D62" i="1"/>
  <c r="B62" i="1" s="1"/>
  <c r="E20" i="38"/>
  <c r="E21" i="38"/>
  <c r="F16" i="9"/>
  <c r="F23" i="9" s="1"/>
  <c r="D23" i="9"/>
  <c r="E15" i="9"/>
  <c r="E9" i="9"/>
  <c r="E62" i="18"/>
  <c r="E42" i="18"/>
  <c r="F65" i="19"/>
  <c r="F64" i="19"/>
  <c r="F42" i="19"/>
  <c r="F20" i="19"/>
  <c r="E21" i="6"/>
  <c r="E22" i="6"/>
  <c r="E23" i="6"/>
  <c r="E24" i="6"/>
  <c r="E25" i="6"/>
  <c r="E26" i="6"/>
  <c r="E27" i="6"/>
  <c r="E28" i="6"/>
  <c r="E29" i="6"/>
  <c r="E30" i="6"/>
  <c r="E13" i="4"/>
  <c r="F9" i="4"/>
  <c r="F10" i="4"/>
  <c r="F11" i="4"/>
  <c r="B199" i="1" l="1"/>
  <c r="U5" i="13" s="1"/>
  <c r="F67" i="19"/>
  <c r="D67" i="19" s="1"/>
  <c r="F45" i="19"/>
  <c r="D45" i="19" s="1"/>
  <c r="E60" i="18"/>
  <c r="E59" i="18"/>
  <c r="E40" i="18"/>
  <c r="E39" i="18"/>
  <c r="E9" i="2"/>
  <c r="D10" i="1"/>
  <c r="D34" i="1" s="1"/>
  <c r="U60" i="13" l="1"/>
  <c r="Y60" i="13" s="1"/>
  <c r="U64" i="13"/>
  <c r="Y64" i="13" s="1"/>
  <c r="U68" i="13"/>
  <c r="Y68" i="13" s="1"/>
  <c r="U61" i="13"/>
  <c r="Y61" i="13" s="1"/>
  <c r="U65" i="13"/>
  <c r="Y65" i="13" s="1"/>
  <c r="U69" i="13"/>
  <c r="Y69" i="13" s="1"/>
  <c r="U62" i="13"/>
  <c r="Y62" i="13" s="1"/>
  <c r="U66" i="13"/>
  <c r="Y66" i="13" s="1"/>
  <c r="U70" i="13"/>
  <c r="Y70" i="13" s="1"/>
  <c r="U63" i="13"/>
  <c r="Y63" i="13" s="1"/>
  <c r="U67" i="13"/>
  <c r="Y67" i="13" s="1"/>
  <c r="B34" i="1"/>
  <c r="F8" i="4"/>
  <c r="F13" i="4" s="1"/>
  <c r="D13" i="4" s="1"/>
  <c r="AC5" i="13" s="1"/>
  <c r="AD67" i="13" l="1"/>
  <c r="AD63" i="13"/>
  <c r="AD68" i="13"/>
  <c r="AD64" i="13"/>
  <c r="AD60" i="13"/>
  <c r="AD69" i="13"/>
  <c r="AD65" i="13"/>
  <c r="AD61" i="13"/>
  <c r="AD70" i="13"/>
  <c r="AD66" i="13"/>
  <c r="AD62" i="13"/>
  <c r="AT18" i="13"/>
  <c r="E17" i="38" l="1"/>
  <c r="E16" i="38"/>
  <c r="E12" i="38"/>
  <c r="D16" i="38"/>
  <c r="D25" i="38" s="1"/>
  <c r="E9" i="38"/>
  <c r="E57" i="18"/>
  <c r="E56" i="18"/>
  <c r="E54" i="18"/>
  <c r="E53" i="18"/>
  <c r="E51" i="18"/>
  <c r="E50" i="18"/>
  <c r="E48" i="18"/>
  <c r="E47" i="18"/>
  <c r="F62" i="18"/>
  <c r="D62" i="18" s="1"/>
  <c r="E37" i="18"/>
  <c r="E36" i="18"/>
  <c r="E34" i="18"/>
  <c r="E33" i="18"/>
  <c r="E31" i="18"/>
  <c r="E30" i="18"/>
  <c r="E28" i="18"/>
  <c r="E27" i="18"/>
  <c r="F42" i="18"/>
  <c r="E20" i="18"/>
  <c r="E19" i="18"/>
  <c r="E17" i="18"/>
  <c r="E16" i="18"/>
  <c r="E14" i="18"/>
  <c r="E13" i="18"/>
  <c r="E11" i="18"/>
  <c r="E63" i="19"/>
  <c r="E62" i="19"/>
  <c r="E60" i="19"/>
  <c r="E59" i="19"/>
  <c r="E57" i="19"/>
  <c r="E56" i="19"/>
  <c r="E54" i="19"/>
  <c r="E53" i="19"/>
  <c r="E51" i="19"/>
  <c r="E50" i="19"/>
  <c r="E41" i="19"/>
  <c r="E40" i="19"/>
  <c r="E38" i="19"/>
  <c r="E37" i="19"/>
  <c r="E35" i="19"/>
  <c r="E34" i="19"/>
  <c r="E32" i="19"/>
  <c r="E31" i="19"/>
  <c r="E29" i="19"/>
  <c r="E28" i="19"/>
  <c r="E19" i="19"/>
  <c r="E18" i="19"/>
  <c r="E16" i="19"/>
  <c r="E15" i="19"/>
  <c r="E13" i="19"/>
  <c r="E12" i="19"/>
  <c r="E10" i="19"/>
  <c r="E10" i="18"/>
  <c r="F22" i="18"/>
  <c r="F23" i="19"/>
  <c r="D23" i="19" s="1"/>
  <c r="D71" i="19" s="1"/>
  <c r="AJ5" i="13" s="1"/>
  <c r="E9" i="19"/>
  <c r="AR61" i="13" l="1"/>
  <c r="AT61" i="13" s="1"/>
  <c r="AR65" i="13"/>
  <c r="AT65" i="13" s="1"/>
  <c r="AR69" i="13"/>
  <c r="AT69" i="13" s="1"/>
  <c r="AR62" i="13"/>
  <c r="AT62" i="13" s="1"/>
  <c r="AR66" i="13"/>
  <c r="AT66" i="13" s="1"/>
  <c r="AR70" i="13"/>
  <c r="AT70" i="13" s="1"/>
  <c r="AR63" i="13"/>
  <c r="AT63" i="13" s="1"/>
  <c r="AR67" i="13"/>
  <c r="AT67" i="13" s="1"/>
  <c r="AR60" i="13"/>
  <c r="AT60" i="13" s="1"/>
  <c r="AR64" i="13"/>
  <c r="AT64" i="13" s="1"/>
  <c r="AR68" i="13"/>
  <c r="AT68" i="13" s="1"/>
  <c r="E25" i="38"/>
  <c r="C25" i="38" s="1"/>
  <c r="AQ5" i="13" s="1"/>
  <c r="AJ70" i="13"/>
  <c r="AL70" i="13" s="1"/>
  <c r="AJ66" i="13"/>
  <c r="AL66" i="13" s="1"/>
  <c r="AJ62" i="13"/>
  <c r="AL62" i="13" s="1"/>
  <c r="AJ67" i="13"/>
  <c r="AL67" i="13" s="1"/>
  <c r="AJ63" i="13"/>
  <c r="AL63" i="13" s="1"/>
  <c r="AJ68" i="13"/>
  <c r="AL68" i="13" s="1"/>
  <c r="AJ64" i="13"/>
  <c r="AL64" i="13" s="1"/>
  <c r="AJ60" i="13"/>
  <c r="AL60" i="13" s="1"/>
  <c r="AJ69" i="13"/>
  <c r="AL69" i="13" s="1"/>
  <c r="AJ65" i="13"/>
  <c r="AL65" i="13" s="1"/>
  <c r="AJ61" i="13"/>
  <c r="AL61" i="13" s="1"/>
  <c r="D42" i="18"/>
  <c r="D22" i="18"/>
  <c r="F13" i="2"/>
  <c r="D13" i="2"/>
  <c r="AT71" i="13" l="1"/>
  <c r="AR19" i="13" s="1"/>
  <c r="AQ68" i="13"/>
  <c r="AS68" i="13" s="1"/>
  <c r="AQ64" i="13"/>
  <c r="AS64" i="13" s="1"/>
  <c r="AQ60" i="13"/>
  <c r="AS60" i="13" s="1"/>
  <c r="AQ67" i="13"/>
  <c r="AS67" i="13" s="1"/>
  <c r="AQ63" i="13"/>
  <c r="AS63" i="13" s="1"/>
  <c r="AQ70" i="13"/>
  <c r="AS70" i="13" s="1"/>
  <c r="AQ66" i="13"/>
  <c r="AS66" i="13" s="1"/>
  <c r="AQ62" i="13"/>
  <c r="AS62" i="13" s="1"/>
  <c r="AQ69" i="13"/>
  <c r="AS69" i="13" s="1"/>
  <c r="AQ65" i="13"/>
  <c r="AS65" i="13" s="1"/>
  <c r="AQ61" i="13"/>
  <c r="AS61" i="13" s="1"/>
  <c r="AL71" i="13"/>
  <c r="AJ19" i="13" s="1"/>
  <c r="D68" i="18"/>
  <c r="AK5" i="13" s="1"/>
  <c r="AS71" i="13" l="1"/>
  <c r="AQ19" i="13" s="1"/>
  <c r="AQ21" i="13" s="1"/>
  <c r="AK68" i="13"/>
  <c r="AM68" i="13" s="1"/>
  <c r="AK61" i="13"/>
  <c r="AM61" i="13" s="1"/>
  <c r="AK62" i="13"/>
  <c r="AM62" i="13" s="1"/>
  <c r="AK63" i="13"/>
  <c r="AM63" i="13" s="1"/>
  <c r="AK66" i="13"/>
  <c r="AM66" i="13" s="1"/>
  <c r="AK69" i="13"/>
  <c r="AM69" i="13" s="1"/>
  <c r="AK67" i="13"/>
  <c r="AM67" i="13" s="1"/>
  <c r="AK70" i="13"/>
  <c r="AM70" i="13" s="1"/>
  <c r="AK60" i="13"/>
  <c r="AK64" i="13"/>
  <c r="AM64" i="13" s="1"/>
  <c r="AK65" i="13"/>
  <c r="AM65" i="13" s="1"/>
  <c r="AR21" i="13"/>
  <c r="AJ21" i="13"/>
  <c r="W21" i="13"/>
  <c r="E18" i="9"/>
  <c r="E14" i="9"/>
  <c r="D32" i="6"/>
  <c r="E10" i="6"/>
  <c r="E11" i="6"/>
  <c r="E13" i="6"/>
  <c r="E14" i="6"/>
  <c r="E15" i="6"/>
  <c r="E17" i="6"/>
  <c r="E18" i="6"/>
  <c r="E19" i="6"/>
  <c r="E9" i="6"/>
  <c r="E8" i="6"/>
  <c r="E7" i="2"/>
  <c r="E10" i="2"/>
  <c r="E20" i="9"/>
  <c r="E21" i="9"/>
  <c r="E11" i="9"/>
  <c r="E12" i="9"/>
  <c r="AM71" i="13" l="1"/>
  <c r="AK19" i="13" s="1"/>
  <c r="AK21" i="13" s="1"/>
  <c r="AM21" i="13" s="1"/>
  <c r="M5" i="13" s="1"/>
  <c r="E23" i="9"/>
  <c r="C23" i="9" s="1"/>
  <c r="O5" i="13" s="1"/>
  <c r="E32" i="6"/>
  <c r="C32" i="6" s="1"/>
  <c r="AD5" i="13" s="1"/>
  <c r="AT21" i="13"/>
  <c r="N5" i="13" s="1"/>
  <c r="E13" i="2"/>
  <c r="C13" i="2" s="1"/>
  <c r="V5" i="13" s="1"/>
  <c r="O68" i="13" l="1"/>
  <c r="T68" i="13" s="1"/>
  <c r="O67" i="13"/>
  <c r="T67" i="13" s="1"/>
  <c r="O60" i="13"/>
  <c r="T60" i="13" s="1"/>
  <c r="O19" i="13"/>
  <c r="O21" i="13" s="1"/>
  <c r="O70" i="13"/>
  <c r="T70" i="13" s="1"/>
  <c r="O65" i="13"/>
  <c r="T65" i="13" s="1"/>
  <c r="O64" i="13"/>
  <c r="T64" i="13" s="1"/>
  <c r="O63" i="13"/>
  <c r="T63" i="13" s="1"/>
  <c r="O62" i="13"/>
  <c r="T62" i="13" s="1"/>
  <c r="O69" i="13"/>
  <c r="T69" i="13" s="1"/>
  <c r="O66" i="13"/>
  <c r="T66" i="13" s="1"/>
  <c r="O61" i="13"/>
  <c r="T61" i="13" s="1"/>
  <c r="N61" i="13"/>
  <c r="S61" i="13" s="1"/>
  <c r="N62" i="13"/>
  <c r="S62" i="13" s="1"/>
  <c r="N19" i="13"/>
  <c r="N21" i="13" s="1"/>
  <c r="N70" i="13"/>
  <c r="S70" i="13" s="1"/>
  <c r="N65" i="13"/>
  <c r="S65" i="13" s="1"/>
  <c r="N69" i="13"/>
  <c r="S69" i="13" s="1"/>
  <c r="N66" i="13"/>
  <c r="S66" i="13" s="1"/>
  <c r="N68" i="13"/>
  <c r="S68" i="13" s="1"/>
  <c r="N67" i="13"/>
  <c r="S67" i="13" s="1"/>
  <c r="N60" i="13"/>
  <c r="S60" i="13" s="1"/>
  <c r="N64" i="13"/>
  <c r="S64" i="13" s="1"/>
  <c r="N63" i="13"/>
  <c r="S63" i="13" s="1"/>
  <c r="M19" i="13"/>
  <c r="M21" i="13" s="1"/>
  <c r="M70" i="13"/>
  <c r="R70" i="13" s="1"/>
  <c r="M65" i="13"/>
  <c r="R65" i="13" s="1"/>
  <c r="M64" i="13"/>
  <c r="R64" i="13" s="1"/>
  <c r="M63" i="13"/>
  <c r="R63" i="13" s="1"/>
  <c r="M62" i="13"/>
  <c r="R62" i="13" s="1"/>
  <c r="M60" i="13"/>
  <c r="R60" i="13" s="1"/>
  <c r="M69" i="13"/>
  <c r="R69" i="13" s="1"/>
  <c r="M66" i="13"/>
  <c r="R66" i="13" s="1"/>
  <c r="M68" i="13"/>
  <c r="R68" i="13" s="1"/>
  <c r="M67" i="13"/>
  <c r="R67" i="13" s="1"/>
  <c r="M61" i="13"/>
  <c r="R61" i="13" s="1"/>
  <c r="AE69" i="13"/>
  <c r="AG69" i="13" s="1"/>
  <c r="AE65" i="13"/>
  <c r="AG65" i="13" s="1"/>
  <c r="AE61" i="13"/>
  <c r="AG61" i="13" s="1"/>
  <c r="AE60" i="13"/>
  <c r="AG60" i="13" s="1"/>
  <c r="AE67" i="13"/>
  <c r="AG67" i="13" s="1"/>
  <c r="AE63" i="13"/>
  <c r="AG63" i="13" s="1"/>
  <c r="AE66" i="13"/>
  <c r="AG66" i="13" s="1"/>
  <c r="AE68" i="13"/>
  <c r="AG68" i="13" s="1"/>
  <c r="AE64" i="13"/>
  <c r="AG64" i="13" s="1"/>
  <c r="AE70" i="13"/>
  <c r="AE62" i="13"/>
  <c r="AG62" i="13" s="1"/>
  <c r="AF65" i="13"/>
  <c r="AF62" i="13"/>
  <c r="AF61" i="13"/>
  <c r="AF68" i="13"/>
  <c r="AF64" i="13"/>
  <c r="AF60" i="13"/>
  <c r="AF66" i="13"/>
  <c r="AF63" i="13"/>
  <c r="AF69" i="13"/>
  <c r="AF67" i="13"/>
  <c r="V60" i="13"/>
  <c r="Z60" i="13" s="1"/>
  <c r="V66" i="13"/>
  <c r="Z66" i="13" s="1"/>
  <c r="V65" i="13"/>
  <c r="Z65" i="13" s="1"/>
  <c r="V64" i="13"/>
  <c r="Z64" i="13" s="1"/>
  <c r="V63" i="13"/>
  <c r="Z63" i="13" s="1"/>
  <c r="V62" i="13"/>
  <c r="Z62" i="13" s="1"/>
  <c r="V61" i="13"/>
  <c r="Z61" i="13" s="1"/>
  <c r="V70" i="13"/>
  <c r="Z70" i="13" s="1"/>
  <c r="V69" i="13"/>
  <c r="Z69" i="13" s="1"/>
  <c r="V68" i="13"/>
  <c r="Z68" i="13" s="1"/>
  <c r="V67" i="13"/>
  <c r="Z67" i="13" s="1"/>
  <c r="Z71" i="13" l="1"/>
  <c r="V19" i="13" s="1"/>
  <c r="S71" i="13"/>
  <c r="T71" i="13"/>
  <c r="R71" i="13"/>
  <c r="AF70" i="13"/>
  <c r="AF71" i="13" s="1"/>
  <c r="AG70" i="13"/>
  <c r="AG71" i="13" s="1"/>
  <c r="AD19" i="13" s="1"/>
  <c r="Y71" i="13"/>
  <c r="V21" i="13" l="1"/>
  <c r="U19" i="13"/>
  <c r="U21" i="13" s="1"/>
  <c r="AD21" i="13"/>
  <c r="AC19" i="13"/>
  <c r="AC21" i="13" s="1"/>
  <c r="Y21" i="13" l="1"/>
  <c r="K5" i="13" s="1"/>
  <c r="K69" i="13" s="1"/>
  <c r="P69" i="13" s="1"/>
  <c r="AF21" i="13"/>
  <c r="L5" i="13" s="1"/>
  <c r="L66" i="13" s="1"/>
  <c r="Q66" i="13" s="1"/>
  <c r="K19" i="13" l="1"/>
  <c r="K21" i="13" s="1"/>
  <c r="K64" i="13"/>
  <c r="P64" i="13" s="1"/>
  <c r="K70" i="13"/>
  <c r="P70" i="13" s="1"/>
  <c r="K66" i="13"/>
  <c r="P66" i="13" s="1"/>
  <c r="K61" i="13"/>
  <c r="P61" i="13" s="1"/>
  <c r="K67" i="13"/>
  <c r="P67" i="13" s="1"/>
  <c r="K63" i="13"/>
  <c r="P63" i="13" s="1"/>
  <c r="K62" i="13"/>
  <c r="P62" i="13" s="1"/>
  <c r="K60" i="13"/>
  <c r="P60" i="13" s="1"/>
  <c r="K65" i="13"/>
  <c r="P65" i="13" s="1"/>
  <c r="K68" i="13"/>
  <c r="P68" i="13" s="1"/>
  <c r="L67" i="13"/>
  <c r="Q67" i="13" s="1"/>
  <c r="L68" i="13"/>
  <c r="Q68" i="13" s="1"/>
  <c r="L62" i="13"/>
  <c r="Q62" i="13" s="1"/>
  <c r="L63" i="13"/>
  <c r="Q63" i="13" s="1"/>
  <c r="L60" i="13"/>
  <c r="Q60" i="13" s="1"/>
  <c r="L19" i="13"/>
  <c r="L21" i="13" s="1"/>
  <c r="L69" i="13"/>
  <c r="Q69" i="13" s="1"/>
  <c r="L61" i="13"/>
  <c r="Q61" i="13" s="1"/>
  <c r="L64" i="13"/>
  <c r="Q64" i="13" s="1"/>
  <c r="L65" i="13"/>
  <c r="Q65" i="13" s="1"/>
  <c r="L70" i="13"/>
  <c r="Q70" i="13" s="1"/>
  <c r="Q21" i="13" l="1"/>
  <c r="C5" i="13" s="1"/>
  <c r="C19" i="13" s="1"/>
  <c r="C21" i="13" s="1"/>
  <c r="E21" i="13" s="1"/>
  <c r="B50" i="13" s="1"/>
  <c r="C50" i="13" s="1"/>
  <c r="P71" i="13"/>
  <c r="Q71" i="13"/>
  <c r="E23" i="13" l="1"/>
  <c r="C69" i="13"/>
  <c r="E69" i="13" s="1"/>
  <c r="C62" i="13"/>
  <c r="E62" i="13" s="1"/>
  <c r="C61" i="13"/>
  <c r="E61" i="13" s="1"/>
  <c r="B48" i="13"/>
  <c r="C48" i="13" s="1"/>
  <c r="B49" i="13"/>
  <c r="C49" i="13" s="1"/>
  <c r="C66" i="13"/>
  <c r="E66" i="13" s="1"/>
  <c r="C65" i="13"/>
  <c r="E65" i="13" s="1"/>
  <c r="C64" i="13"/>
  <c r="E64" i="13" s="1"/>
  <c r="B47" i="13"/>
  <c r="C47" i="13" s="1"/>
  <c r="C67" i="13"/>
  <c r="E67" i="13" s="1"/>
  <c r="C63" i="13"/>
  <c r="E63" i="13" s="1"/>
  <c r="C68" i="13"/>
  <c r="E68" i="13" s="1"/>
  <c r="C70" i="13"/>
  <c r="E70" i="13" s="1"/>
  <c r="C60" i="13"/>
  <c r="E60" i="13" s="1"/>
  <c r="C51" i="13" l="1"/>
  <c r="E24" i="13" s="1"/>
  <c r="E71" i="13"/>
</calcChain>
</file>

<file path=xl/sharedStrings.xml><?xml version="1.0" encoding="utf-8"?>
<sst xmlns="http://schemas.openxmlformats.org/spreadsheetml/2006/main" count="1589" uniqueCount="529">
  <si>
    <t>Metric 1.3  Percent Compliance with Staff Training Standards</t>
  </si>
  <si>
    <t>5.1  Percent Compliance With Administrative Requirements</t>
  </si>
  <si>
    <t>5.1.1</t>
  </si>
  <si>
    <t>5.1.2</t>
  </si>
  <si>
    <t>5.1.5</t>
  </si>
  <si>
    <t>5.1.6</t>
  </si>
  <si>
    <t>5.1.7</t>
  </si>
  <si>
    <t xml:space="preserve">Personnel Sub-Matrix </t>
  </si>
  <si>
    <t xml:space="preserve">Facilities Sub-Matrix </t>
  </si>
  <si>
    <t>Program Standards</t>
  </si>
  <si>
    <t>1. Personnel</t>
  </si>
  <si>
    <t>2. Facilities</t>
  </si>
  <si>
    <t>3. Program</t>
  </si>
  <si>
    <t>4. Equipment</t>
  </si>
  <si>
    <t>5. Administration</t>
  </si>
  <si>
    <t>1.2 Percent With Appropriate Qualifications</t>
  </si>
  <si>
    <t>Performance</t>
  </si>
  <si>
    <t>Weight</t>
  </si>
  <si>
    <t>Index</t>
  </si>
  <si>
    <t>Value</t>
  </si>
  <si>
    <t>Score</t>
  </si>
  <si>
    <t>3.1.1</t>
  </si>
  <si>
    <t>3.1.2</t>
  </si>
  <si>
    <t>3.1.3</t>
  </si>
  <si>
    <t>Possible Score</t>
  </si>
  <si>
    <t>Actual Score</t>
  </si>
  <si>
    <t>Meet Standard</t>
  </si>
  <si>
    <t xml:space="preserve">Your percent compliance with this metric   </t>
  </si>
  <si>
    <t>1.2.7</t>
  </si>
  <si>
    <t>Your percent compliance with this metric</t>
  </si>
  <si>
    <t>Metric 1.2  Percent Compliance with Staff Qualification Standards</t>
  </si>
  <si>
    <t>Metric 1.1  Percent Compliance with Staffing Standards</t>
  </si>
  <si>
    <t>Your Percent Compliance with this Metric</t>
  </si>
  <si>
    <t>5.1.3</t>
  </si>
  <si>
    <t>5.1.4</t>
  </si>
  <si>
    <t>1.1 Staffing</t>
  </si>
  <si>
    <t>1.2 Staff Qualifications</t>
  </si>
  <si>
    <t>1.3 Staff Training</t>
  </si>
  <si>
    <t>Facilities</t>
  </si>
  <si>
    <t>Programs</t>
  </si>
  <si>
    <t>Equipment</t>
  </si>
  <si>
    <t>Administration</t>
  </si>
  <si>
    <t>5.1 Administration</t>
  </si>
  <si>
    <t>Position Descriptions</t>
  </si>
  <si>
    <t>References/Sources</t>
  </si>
  <si>
    <t>Personnel</t>
  </si>
  <si>
    <t>Comments:</t>
  </si>
  <si>
    <t xml:space="preserve">Comments:  </t>
  </si>
  <si>
    <t xml:space="preserve">Comments: </t>
  </si>
  <si>
    <t>Metric 2.1  Percent Compliance with Facility Square Footage Requirements</t>
  </si>
  <si>
    <t>4.1.1</t>
  </si>
  <si>
    <t>4.1.2</t>
  </si>
  <si>
    <t>4.1.4</t>
  </si>
  <si>
    <t>4.1.5</t>
  </si>
  <si>
    <t>4.1.6</t>
  </si>
  <si>
    <t>1.3.12</t>
  </si>
  <si>
    <t>1.3.13</t>
  </si>
  <si>
    <t>1.3.14</t>
  </si>
  <si>
    <t>3.1.4</t>
  </si>
  <si>
    <t>3.1.5</t>
  </si>
  <si>
    <t>3.1.6</t>
  </si>
  <si>
    <t>2.2 Facility Quality</t>
  </si>
  <si>
    <t>2.1 Square Footage</t>
  </si>
  <si>
    <t xml:space="preserve"> Program Standards Sub-Matrix </t>
  </si>
  <si>
    <t xml:space="preserve">Program Sub-Matrix </t>
  </si>
  <si>
    <t>Equipment Sub-Matrix</t>
  </si>
  <si>
    <t xml:space="preserve"> 1.1 Percent Staffing Level</t>
  </si>
  <si>
    <t>1.3  Percent Receiving Required Training</t>
  </si>
  <si>
    <t>2.1 Percent Compliance with Sq Ft. Standards</t>
  </si>
  <si>
    <t>3.2 Percent Compliance with Fitness Programming Standards</t>
  </si>
  <si>
    <t xml:space="preserve"> Score</t>
  </si>
  <si>
    <t>4.2.7</t>
  </si>
  <si>
    <t>3.2 Fitness Programming</t>
  </si>
  <si>
    <t>2.2 Percent Compliance with Qualitative Facility Standards</t>
  </si>
  <si>
    <t>3.1 Recreation Programming</t>
  </si>
  <si>
    <t>Hospital Ship</t>
  </si>
  <si>
    <t>Rec Assistant</t>
  </si>
  <si>
    <t>CVN</t>
  </si>
  <si>
    <t>LHD/LHA</t>
  </si>
  <si>
    <t>Directed Activities</t>
  </si>
  <si>
    <t>UNDERWAY</t>
  </si>
  <si>
    <t>SHIP YARD</t>
  </si>
  <si>
    <t>Skills/Knowledge Classes</t>
  </si>
  <si>
    <t>Command Wide/Theme Events</t>
  </si>
  <si>
    <t>Competition</t>
  </si>
  <si>
    <t>LCC/LSD</t>
  </si>
  <si>
    <t>CG/DDG</t>
  </si>
  <si>
    <t>SSGN/SSBN</t>
  </si>
  <si>
    <t>SSN</t>
  </si>
  <si>
    <t>Best</t>
  </si>
  <si>
    <t>Better</t>
  </si>
  <si>
    <t>Good</t>
  </si>
  <si>
    <t>Trips and Tours</t>
  </si>
  <si>
    <t>AS/LPD</t>
  </si>
  <si>
    <t>LCC</t>
  </si>
  <si>
    <t>Tickets</t>
  </si>
  <si>
    <t>Command Wide Activities/Events</t>
  </si>
  <si>
    <t>Competition/Tournaments</t>
  </si>
  <si>
    <t>Skill/Knowledge Classes</t>
  </si>
  <si>
    <r>
      <t>•</t>
    </r>
    <r>
      <rPr>
        <sz val="12"/>
        <color rgb="FF000000"/>
        <rFont val="Arial"/>
        <family val="2"/>
      </rPr>
      <t>A scheduled training, instruction, seminar and/or specialized guidance led by the RSO/staff member, a volunteer crewmember or a contracted professional. Examples include equipment usage indoctrination, wellness classes, sports safety classes, nutrition, intro to exercise programs (TRX, NOFFS),  etc. sports skills conditioning</t>
    </r>
  </si>
  <si>
    <t>3 sports</t>
  </si>
  <si>
    <t>2 sports</t>
  </si>
  <si>
    <t>at least 4 sports</t>
  </si>
  <si>
    <t>&lt; 2 sports</t>
  </si>
  <si>
    <t>per yr</t>
  </si>
  <si>
    <t>Monthly calendar</t>
  </si>
  <si>
    <t>After action report on command wide fitness events</t>
  </si>
  <si>
    <t>Program plan is prepared for command wide fitness events</t>
  </si>
  <si>
    <t>Each type of fitness class has a written curriculum/ activity plan</t>
  </si>
  <si>
    <t xml:space="preserve">CVN </t>
  </si>
  <si>
    <t xml:space="preserve">Library Officer </t>
  </si>
  <si>
    <t>Movie Officer</t>
  </si>
  <si>
    <t xml:space="preserve">The Fitness Equipment Officer is an E7 or above.  </t>
  </si>
  <si>
    <t>MWR Division</t>
  </si>
  <si>
    <t>Collateral Duty Positions</t>
  </si>
  <si>
    <t xml:space="preserve">Afloat Fitness Director NF 4  </t>
  </si>
  <si>
    <t xml:space="preserve">Afloat Recreation Director NF 4  </t>
  </si>
  <si>
    <t xml:space="preserve">Recreation Assistant </t>
  </si>
  <si>
    <t xml:space="preserve">Recreation Assistant  </t>
  </si>
  <si>
    <t xml:space="preserve">Recreation Assistant (ET/ MM E5 or above)  </t>
  </si>
  <si>
    <t>Ford Class CVN</t>
  </si>
  <si>
    <t>Recreation Services LCPO (E7 or above)</t>
  </si>
  <si>
    <t xml:space="preserve">Recreation Assistant (YN)  </t>
  </si>
  <si>
    <t>Recreation Services LPO (E6 or above)</t>
  </si>
  <si>
    <t>Library Officer</t>
  </si>
  <si>
    <t>1.2.8</t>
  </si>
  <si>
    <t>1.2.9</t>
  </si>
  <si>
    <t>1.2.10</t>
  </si>
  <si>
    <t>N/A</t>
  </si>
  <si>
    <t>Library Media Resource Center (LMRC)</t>
  </si>
  <si>
    <t>Contains adequate lighting, electrical power and ventilation to support personnel and office equipment.</t>
  </si>
  <si>
    <t>Internet connections are provided for each PC.</t>
  </si>
  <si>
    <t>Adequate furnishings (shelves, desks, chairs) are provided.</t>
  </si>
  <si>
    <t>There are adequate shelving, bins, and open-end cubicles for storage of equipment and supplies.</t>
  </si>
  <si>
    <t>Storage space can be secured.</t>
  </si>
  <si>
    <t xml:space="preserve">There are adequate shelving, bins, and open-end cubicles for storage of equipment and supplies.
supplies.
There are adequate shelving, bins, and open-end cubicles for storage of equipment and 
supplies.
</t>
  </si>
  <si>
    <t>Fitness equipment parts storage</t>
  </si>
  <si>
    <t>20 amp 115-120 volts dedicated circuit is provided for each treadmill.</t>
  </si>
  <si>
    <t>All exercise equipment is safely secured for sea.</t>
  </si>
  <si>
    <t>Air circulation levels are maintained at a minimum of 10 air exchanges per hour.</t>
  </si>
  <si>
    <t>Exercise Space</t>
  </si>
  <si>
    <t>Sound levels are under 84 decibels. Sound sources include exercise equipment in use, stereo sound system, conversation, etc.</t>
  </si>
  <si>
    <t>The floor is designed to bear the load of weight machines and equipment (minimum 45.36 kilograms per .1 square meter or 100 pounds per square foot).</t>
  </si>
  <si>
    <t>A water fountain or cooler (either portable or permanent) is available within or adjacent to the fitness activity areas.</t>
  </si>
  <si>
    <t>2.2 Percent Compliance With Qualitative Facility Standards</t>
  </si>
  <si>
    <t>2.2.1</t>
  </si>
  <si>
    <t>2.2.2</t>
  </si>
  <si>
    <t>2.2.3</t>
  </si>
  <si>
    <t>2.2.4</t>
  </si>
  <si>
    <t>2.2.5</t>
  </si>
  <si>
    <t>2.2.6</t>
  </si>
  <si>
    <t>2.2.7</t>
  </si>
  <si>
    <t>2.2.8</t>
  </si>
  <si>
    <t>2.2.9</t>
  </si>
  <si>
    <t>2.2.10</t>
  </si>
  <si>
    <t>2.2.11</t>
  </si>
  <si>
    <t>2.2.12</t>
  </si>
  <si>
    <t>2.2.13</t>
  </si>
  <si>
    <t>2.2.14</t>
  </si>
  <si>
    <t>2.2.15</t>
  </si>
  <si>
    <t>2.2.16</t>
  </si>
  <si>
    <t>2.2.17</t>
  </si>
  <si>
    <t>2.2.18</t>
  </si>
  <si>
    <t>2.2.19</t>
  </si>
  <si>
    <t>2.2.20</t>
  </si>
  <si>
    <t>Skills/Knowledge</t>
  </si>
  <si>
    <t>Command-wide Events</t>
  </si>
  <si>
    <t>Competitions</t>
  </si>
  <si>
    <t>Trips/Tours</t>
  </si>
  <si>
    <t>Calculate your average number of times each type of program is conducted per month.  Check the box in the section that comes the closest with going over. 
                                                                           Activities per month</t>
  </si>
  <si>
    <t>3.1  Percent of Programs Offered in Compliance With Standards</t>
  </si>
  <si>
    <t xml:space="preserve"> Underway</t>
  </si>
  <si>
    <t xml:space="preserve"> Homeport</t>
  </si>
  <si>
    <t>In the Yards</t>
  </si>
  <si>
    <t>An LMRC is available to the crew</t>
  </si>
  <si>
    <t xml:space="preserve">Intramurals </t>
  </si>
  <si>
    <t>Intramural Sports</t>
  </si>
  <si>
    <t xml:space="preserve"> At least 4 sports per yr</t>
  </si>
  <si>
    <t xml:space="preserve"> At least 3 sports per yr</t>
  </si>
  <si>
    <t xml:space="preserve"> At least 2 sports per yr</t>
  </si>
  <si>
    <t>3.2 Percent of Fitness Activities Offered in Compliance With Standards</t>
  </si>
  <si>
    <t>LSD</t>
  </si>
  <si>
    <t>LPD</t>
  </si>
  <si>
    <t>LHA</t>
  </si>
  <si>
    <t>LHD</t>
  </si>
  <si>
    <t>TREADMILLS</t>
  </si>
  <si>
    <t>SPINNING CYCLE</t>
  </si>
  <si>
    <t>ELLIPTICAL TRAINER</t>
  </si>
  <si>
    <t>UPRIGHT CYCLE</t>
  </si>
  <si>
    <t>CONCEPT II ROWER</t>
  </si>
  <si>
    <t>VERSA CLIMBER</t>
  </si>
  <si>
    <t>90-99%</t>
  </si>
  <si>
    <t>80-89%</t>
  </si>
  <si>
    <t>4.2 Percent Correct Type of Fitness Equipment in Compliance With Standards</t>
  </si>
  <si>
    <t>4.2.8</t>
  </si>
  <si>
    <t>4.2.9</t>
  </si>
  <si>
    <t>4.2.10</t>
  </si>
  <si>
    <t>4.1  Percent Recreation Equipment in Compliance with Standards</t>
  </si>
  <si>
    <t>Recreation Gear Locker</t>
  </si>
  <si>
    <t xml:space="preserve">Recreation Program Equipment (for shipwide events) </t>
  </si>
  <si>
    <t>Movie Equipment</t>
  </si>
  <si>
    <t xml:space="preserve">Library Multimedia Resource Center (LMRC) Equipment </t>
  </si>
  <si>
    <t>Percent of cardio equipment that is operational.</t>
  </si>
  <si>
    <t>Fitness Equipment Repair Parts</t>
  </si>
  <si>
    <t>A sufficient stock of spare and repair parts for fitness equipment is on-hand.</t>
  </si>
  <si>
    <t>Equipment Maintenance</t>
  </si>
  <si>
    <t>Percent of strength equipment that is operational.</t>
  </si>
  <si>
    <t>Recreation Admin</t>
  </si>
  <si>
    <t>All Ships</t>
  </si>
  <si>
    <t>4.1 Recreation Equipment</t>
  </si>
  <si>
    <t>4.2 Fitness Equipment</t>
  </si>
  <si>
    <t>Scoring</t>
  </si>
  <si>
    <t xml:space="preserve">Missing Standard Numbers </t>
  </si>
  <si>
    <t xml:space="preserve">The standards in this workbook have been customized for your ship, having been drawn from a much larger master list.  The standards that don't apply to your ship have been eliminated possibly making some standards appear to have been omitted.  Everything that applies to your ship has been included here and the scoring adjusted to account for whatever standards and standard numbers that are missing from the master list.  </t>
  </si>
  <si>
    <t>Understanding Standards</t>
  </si>
  <si>
    <r>
      <rPr>
        <b/>
        <sz val="12"/>
        <rFont val="Times New Roman"/>
        <family val="1"/>
      </rPr>
      <t>Ship's Company</t>
    </r>
    <r>
      <rPr>
        <sz val="12"/>
        <rFont val="Times New Roman"/>
        <family val="1"/>
      </rPr>
      <t xml:space="preserve"> has completed the following training:</t>
    </r>
  </si>
  <si>
    <t>3.1 Percent Compliance with Recreation Programming Standards</t>
  </si>
  <si>
    <t>4.1 Percent Compliance with Recreation Equipment Standards</t>
  </si>
  <si>
    <t>Shelving for paperback books</t>
  </si>
  <si>
    <t>Computer station (s)</t>
  </si>
  <si>
    <t>Site TV System</t>
  </si>
  <si>
    <t>Cinema at Sea Initiative (CASI) system</t>
  </si>
  <si>
    <t xml:space="preserve">Navy Digital Video Disk (NDVD) Player </t>
  </si>
  <si>
    <t>Navy Digital Video Disk (NDVD) Player for the CASI System</t>
  </si>
  <si>
    <t xml:space="preserve">Movie Program </t>
  </si>
  <si>
    <t xml:space="preserve">Position Filled </t>
  </si>
  <si>
    <t>Afloat Fitness Director NF 4 or Afloat Recreation Director NF 4</t>
  </si>
  <si>
    <t xml:space="preserve">Recreation Services Officer is an E7 or above. 
</t>
  </si>
  <si>
    <t>Command Fitness Leader is an E6 or above.</t>
  </si>
  <si>
    <t>1.2.11</t>
  </si>
  <si>
    <t xml:space="preserve">Recreation Gear Storage </t>
  </si>
  <si>
    <t>Space has adequate lighting and  is climate controlled for temperature and humidity.
Expendable gear under $300.00 and life expectancy of less than 2 years……..</t>
  </si>
  <si>
    <t>Adequate power is provided for all other electrical equipment.</t>
  </si>
  <si>
    <t xml:space="preserve">Resilient rubber flooring is provided in all strength equipment areas. </t>
  </si>
  <si>
    <t xml:space="preserve">Fitness spaces have hygienic cleaning supplies for sanitizing fitness equipment. </t>
  </si>
  <si>
    <t xml:space="preserve">Ships' fitness equipment has been evaluated for replacement by the Deployed Forces Support (DFS) staff within the last 6 months. </t>
  </si>
  <si>
    <t xml:space="preserve">Ships' recreation  equipment has been evaluated for replacement by the DFS staff within the last 6 months. </t>
  </si>
  <si>
    <t>An after-action file is maintained on each trip/tour/outing.</t>
  </si>
  <si>
    <t xml:space="preserve">No movies other than those provided by Navy Motion Picture Service or Armed Forces Radio and Television Service (AFRTS) are shown on SITE-CCTV or CASI System. </t>
  </si>
  <si>
    <t>Trips/tours/outings are offered at cost or discounted.</t>
  </si>
  <si>
    <t xml:space="preserve">Inspections </t>
  </si>
  <si>
    <t xml:space="preserve">Internal fiscal oversight was conducted by the ship's Fiscal Oversight Board in March and September of the last fiscal year. </t>
  </si>
  <si>
    <t xml:space="preserve">The ship’s financial statement was submitted to CNIC no later than 1 December of the previous year. </t>
  </si>
  <si>
    <t>For Ships without a ship's store</t>
  </si>
  <si>
    <t>The ship received an overall satisfactory for resale for ships without a ship's store.</t>
  </si>
  <si>
    <t>4.2 Percent Compliance with Fitness Equipment Standards</t>
  </si>
  <si>
    <t>Library Multimedia Resource Center</t>
  </si>
  <si>
    <t>Recreation Gear Storage</t>
  </si>
  <si>
    <t>Fitness Equipment Gear Storage</t>
  </si>
  <si>
    <t>Fitness Space</t>
  </si>
  <si>
    <t>2.1.1</t>
  </si>
  <si>
    <t>2.1.2</t>
  </si>
  <si>
    <t>2.1.3</t>
  </si>
  <si>
    <t>2.1.4</t>
  </si>
  <si>
    <t>Athletics Officer is an E7 or above.</t>
  </si>
  <si>
    <t xml:space="preserve">Recreation Fund Custodian is an E7 or above. 
</t>
  </si>
  <si>
    <t>A recreation gear locker is available to the crew on request.</t>
  </si>
  <si>
    <t>A preventive maintenance program is in place for strength equipment.</t>
  </si>
  <si>
    <t>A preventive maintenance program is in place for cardio equipment.</t>
  </si>
  <si>
    <t>Calculate the number of square feet utilized for each space requirement.  Check the box for each space that meets at least 100% of the requirement. 
                                                                                                Square feet</t>
  </si>
  <si>
    <t>Sound levels are under 84 decibels.</t>
  </si>
  <si>
    <t>Space is well lit in order to ensure the proper use and the safety of personnel using the equipment.</t>
  </si>
  <si>
    <t>An LMRC is available to the crew.</t>
  </si>
  <si>
    <t>Calculate the average number of times each type of program is conducted per month.  Check the box in the section that comes the closest with going over. 
                                                                           Activities per month</t>
  </si>
  <si>
    <t>3.1.11</t>
  </si>
  <si>
    <t>3.1.12</t>
  </si>
  <si>
    <t>3.1.13</t>
  </si>
  <si>
    <t>Check one box for each standard</t>
  </si>
  <si>
    <t>3.1.14</t>
  </si>
  <si>
    <t>3.1.15</t>
  </si>
  <si>
    <t>3.1.16</t>
  </si>
  <si>
    <t>3.1.17</t>
  </si>
  <si>
    <t>3.1.23</t>
  </si>
  <si>
    <t>3.1.24</t>
  </si>
  <si>
    <t>Underway</t>
  </si>
  <si>
    <t>Percent compliance with this metric</t>
  </si>
  <si>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</si>
  <si>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Scroll down to 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</si>
  <si>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the boxes are checked for only </t>
    </r>
    <r>
      <rPr>
        <i/>
        <u/>
        <sz val="12"/>
        <rFont val="Times New Roman"/>
        <family val="1"/>
      </rPr>
      <t>one ship condition.</t>
    </r>
    <r>
      <rPr>
        <i/>
        <sz val="12"/>
        <rFont val="Times New Roman"/>
        <family val="1"/>
      </rPr>
      <t xml:space="preserve">  See definitions tab for explanations about program types and examples.</t>
    </r>
  </si>
  <si>
    <t>3.1.25</t>
  </si>
  <si>
    <t>Sheet total</t>
  </si>
  <si>
    <t>3.1.26</t>
  </si>
  <si>
    <t>3.1.27</t>
  </si>
  <si>
    <t>3.1.28</t>
  </si>
  <si>
    <t>3.1.29</t>
  </si>
  <si>
    <r>
      <t xml:space="preserve">Scroll down to 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</si>
  <si>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r>
      <t xml:space="preserve">Find the appropriate condition for this ship (Underway, In Homeport or in the Yards). To receive a correct score, make sure that the boxes are checked for only </t>
    </r>
    <r>
      <rPr>
        <i/>
        <u/>
        <sz val="12"/>
        <rFont val="Times New Roman"/>
        <family val="1"/>
      </rPr>
      <t>one ship condition.</t>
    </r>
    <r>
      <rPr>
        <i/>
        <sz val="12"/>
        <rFont val="Times New Roman"/>
        <family val="1"/>
      </rPr>
      <t xml:space="preserve">  See definitions tab for explanations about program types and examples.</t>
    </r>
  </si>
  <si>
    <t>The ship has the following equipment to show movies:</t>
  </si>
  <si>
    <t>4.1.7</t>
  </si>
  <si>
    <t>4.1.8</t>
  </si>
  <si>
    <t>4.1.9</t>
  </si>
  <si>
    <t>The ship's recreation programming equipment includes a variety of gear to support the ship's intended program.  Equipment includes but is not limited to the following:</t>
  </si>
  <si>
    <t>The ship's gear locker contains a variety of recreation equipment to support the ship's recreation program. Equipment includes but is not  limited to the following:</t>
  </si>
  <si>
    <t>REQUIRED CARDIO</t>
  </si>
  <si>
    <t>TOTAL:</t>
  </si>
  <si>
    <t>REQUIRED STRENGTH</t>
  </si>
  <si>
    <t>REQUIRED ADJ WEIGHT STACK MACHINES</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</si>
  <si>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</si>
  <si>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</si>
  <si>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</si>
  <si>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</si>
  <si>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</si>
  <si>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</si>
  <si>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</si>
  <si>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</si>
  <si>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</si>
  <si>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ADJ WEIGHT STACK STANDING BICEP TRICEP</t>
  </si>
  <si>
    <t>REQUIRED PLATE LOADED MACHINES</t>
  </si>
  <si>
    <t>PLATE LOADED 3 WAY OLYMPIC BENCH                                               (Weight Plates EA machine) 45LB-4, 35LB-2, 25LB-4, 10LB-4, 5LB-4, 2.5LB-2</t>
  </si>
  <si>
    <t>PLATE LOADED BACK HYPER</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</si>
  <si>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</si>
  <si>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</si>
  <si>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</si>
  <si>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</si>
  <si>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</si>
  <si>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</si>
  <si>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</si>
  <si>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</si>
  <si>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</si>
  <si>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</si>
  <si>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OLYMPIC PLATE TREE</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</si>
  <si>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</si>
  <si>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</si>
  <si>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</si>
  <si>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</si>
  <si>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</si>
  <si>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 xml:space="preserve">PLATE LOADED SMITH MACHINE                                                           (Weight Plates EA machine) 45LB-6,35lb-2, 25LB-6, 10LB-4, 5LB-4, 2.5lb-4 </t>
  </si>
  <si>
    <t>PLATE LOADED VERTICAL KNEE RAISE</t>
  </si>
  <si>
    <t>Quantity</t>
  </si>
  <si>
    <t>Required Cardio Machines</t>
  </si>
  <si>
    <t>Pick one answer</t>
  </si>
  <si>
    <t>4.2.1</t>
  </si>
  <si>
    <t>4.2.2</t>
  </si>
  <si>
    <t>4.2.3</t>
  </si>
  <si>
    <t>4.2.4</t>
  </si>
  <si>
    <t>4.2.5</t>
  </si>
  <si>
    <t>4.2.6</t>
  </si>
  <si>
    <t>4.2.11</t>
  </si>
  <si>
    <t>Treadmills</t>
  </si>
  <si>
    <t>Upright Cycle</t>
  </si>
  <si>
    <t xml:space="preserve">Bench Flat/Incline/Decline </t>
  </si>
  <si>
    <t xml:space="preserve">Dumbbells 12-Sided Urethane 5-100 St W/Rack </t>
  </si>
  <si>
    <t xml:space="preserve">Suspension Training Kits </t>
  </si>
  <si>
    <t xml:space="preserve">NOFFS Resistance Band Kits </t>
  </si>
  <si>
    <t>Adj Weight Stack  Single Hi / Lo Pulley</t>
  </si>
  <si>
    <t>Adj Weight Stack Corner Cable Cross</t>
  </si>
  <si>
    <t>Adj Weight Stack Kneeling Chin / Dip Assist</t>
  </si>
  <si>
    <t>Adj Weight Stack Leg Press / Calf Raise</t>
  </si>
  <si>
    <t>Adj Weight Stack Mid Row / Lat Pulldown</t>
  </si>
  <si>
    <t>Adj Weight Stack Multi-Press</t>
  </si>
  <si>
    <t>Adj Weight Stack Pec / Rear Delt</t>
  </si>
  <si>
    <t>Adj Weight Stack Rope Pull</t>
  </si>
  <si>
    <t>Adj Weight Stack Seated Leg Extension / Leg Curl</t>
  </si>
  <si>
    <t>Plate Loaded 3 Way Olympic Bench                                               (Weight Plates Ea Machine) 45Lb-4, 35Lb-2, 25Lb-4, 10Lb-4, 5Lb-4, 2.5Lb-2</t>
  </si>
  <si>
    <t>Plate Loaded Iso Lat Chest/Back                                                   (Weight Plates Ea Machine) 45Lb-4, 35Lb-2, 25Lb-4, 10Lb-4, 5Lb-2</t>
  </si>
  <si>
    <t>Plate Loaded Iso Lat Front Lat Pulldown                                            (Weight Plates Ea Machine) 45Lb-4, 35Lb-2, 25Lb-4, 10Lb-4, 5Lb-2, 2.5Lb-2</t>
  </si>
  <si>
    <t>Plate Loaded Iso Lat Incline Press                                                (Weight Plates Ea Machine) 45Lb-4, 35Lb-2, 25Lb-4, 10Lb-4, 5Lb-4,</t>
  </si>
  <si>
    <t>Plate Loaded Iso Lat Low Row                                                       (Weight Plates Ea Machine) 45Lb-4, 35Lb-2, 25Lb-4, 10Lb-2, 5Lb-2, 2.5Lb-2</t>
  </si>
  <si>
    <t>Plate Loaded Iso Lat Shoulder Press                                               (Weight Plates Ea Machine) 45Lb-4, 35Lb-2, 25Lb-4, 10Lb-2, 5Lb-2, 2.5Lb-2</t>
  </si>
  <si>
    <t xml:space="preserve">Plate Loaded Iso Lateral Bench Press                                               (Weight Plates Ea Machine) 45Lb-4, 35Lb-2, 25Lb-4, 10Lb-4, 5Lb-2, </t>
  </si>
  <si>
    <t xml:space="preserve">Plate Loaded Iso Lateral Leg Curl                                               (Weight Plates Ea Machine) 45Lb-2, 35Lb-2, 25Lb-2, 10Lb-2, 5Lb-2, </t>
  </si>
  <si>
    <t xml:space="preserve">Plate Loaded Iso Lateral Leg Extension                                      (Weight Plates Ea Machine) 45Lb-2, 35Lb-2, 25Lb-2, 10Lb-2, 5Lb-2, </t>
  </si>
  <si>
    <t>Plate Loaded Lateral Raise                                                            (Weight Plates Ea Machine) 45Lb-2, 35Lb-2, 25Lb-2, 10Lb-2, 5Lb-2, 2.5Lb-2</t>
  </si>
  <si>
    <t xml:space="preserve">Plate Loaded Leg Press                                                                  (Weight Plates Ea Machine) 45Lb-8, 35Lb-4, 25Lb-8, 10Lb-4, </t>
  </si>
  <si>
    <t>Plate Loaded Preacher Curl W/Bar                                              (Weight Plates Ea Machine) 45Lb-2, 25Lb-2, 10Lb-4, 5Lb-4,</t>
  </si>
  <si>
    <t>Plate Loaded Pullover                                                                    (Weight Plates Ea Machine) 45Lb-4, 35Lb-2, 25Lb-4, 10Lb-4, 5Lb-2, 2.5Lb-2</t>
  </si>
  <si>
    <t xml:space="preserve">Plate Loaded Seated Bicep                                                             (Weight Plates Ea Machine) 45Lb-1, 35Lb-1, 25Lb-2, 10Lb-2, 5Lb-2,   </t>
  </si>
  <si>
    <t>Plate Loaded Seated Calf                                                               (Weight Plates Ea Machine) 45Lb-4,25Lb-2, 10Lb-2</t>
  </si>
  <si>
    <t xml:space="preserve">Plate Loaded Seated Dip                                                                  (Weight Plates Ea Machine) 45Lb-4,25Lb-4, 10Lb-4, </t>
  </si>
  <si>
    <t>Plate Loaded Vertical Knee Raise</t>
  </si>
  <si>
    <t>Master Equipment List</t>
  </si>
  <si>
    <t>CVN &gt;5K</t>
  </si>
  <si>
    <t>CVN &lt; 5K</t>
  </si>
  <si>
    <t>HOSPITAL</t>
  </si>
  <si>
    <t>SSBN/SSGN</t>
  </si>
  <si>
    <t>Select a QTY from the listed 6 below</t>
  </si>
  <si>
    <t>BENCH FLAT/INCLINE/DECLINE QTY</t>
  </si>
  <si>
    <t>DUMBBELLS 12-SIDED URETHANE 5-100 ST W/RACK QTY</t>
  </si>
  <si>
    <t>ADJ WEIGHT STACK CORNER CABLE CROSS QTY</t>
  </si>
  <si>
    <t>PLATE LOADED SMITH MACHINE QTY</t>
  </si>
  <si>
    <t>NOFFS RESISTANCE BAND KITS QTY</t>
  </si>
  <si>
    <t>SUSPENSION TRAINING KITS QTY</t>
  </si>
  <si>
    <t>Select a QTY from the listed 10 below</t>
  </si>
  <si>
    <t>Select a QTY  from the listed 20 below</t>
  </si>
  <si>
    <t>4.1.3</t>
  </si>
  <si>
    <t>AS</t>
  </si>
  <si>
    <t>Recreation</t>
  </si>
  <si>
    <t>Recreation activities</t>
  </si>
  <si>
    <t>Fitness</t>
  </si>
  <si>
    <t>CVN FORD CLASS</t>
  </si>
  <si>
    <t>HOME PORT</t>
  </si>
  <si>
    <t>BEST</t>
  </si>
  <si>
    <t>Best underway</t>
  </si>
  <si>
    <t>Best home port</t>
  </si>
  <si>
    <t>Best shipyard</t>
  </si>
  <si>
    <t>BETTER</t>
  </si>
  <si>
    <t>Better underway</t>
  </si>
  <si>
    <t>Better home port</t>
  </si>
  <si>
    <t>Better shipyard</t>
  </si>
  <si>
    <t>GOOD</t>
  </si>
  <si>
    <t>Good underway</t>
  </si>
  <si>
    <t>Good home port</t>
  </si>
  <si>
    <t>Good shipyard</t>
  </si>
  <si>
    <t>Best Underway</t>
  </si>
  <si>
    <t>Best Home Port</t>
  </si>
  <si>
    <t>Best Ship Yard</t>
  </si>
  <si>
    <t>Better Underway</t>
  </si>
  <si>
    <t>Better Home Port</t>
  </si>
  <si>
    <t>Better Ship Yard</t>
  </si>
  <si>
    <t>Good Underway</t>
  </si>
  <si>
    <t>Good Home Port</t>
  </si>
  <si>
    <t>Good Ship Yard</t>
  </si>
  <si>
    <t>SHIP TYPE</t>
  </si>
  <si>
    <t>LESS 100 (LCS/PC/MCM)</t>
  </si>
  <si>
    <t>Directed/Filler Activities</t>
  </si>
  <si>
    <t>At least two ship’s company personnel have completed vendor provided maintenance and repair training for exercise equipment.</t>
  </si>
  <si>
    <t>SQUARE FOOTAGE TABLE</t>
  </si>
  <si>
    <t>LMRC</t>
  </si>
  <si>
    <t>Rec Gear Storage</t>
  </si>
  <si>
    <t>Fit Equip Storage</t>
  </si>
  <si>
    <t>Fitness space</t>
  </si>
  <si>
    <t>Staff Office</t>
  </si>
  <si>
    <t>Total SQ'</t>
  </si>
  <si>
    <t>LESS THAN 100</t>
  </si>
  <si>
    <t xml:space="preserve">                                                    </t>
  </si>
  <si>
    <t>3.2.1</t>
  </si>
  <si>
    <t>3.2.2</t>
  </si>
  <si>
    <t>3.2.3</t>
  </si>
  <si>
    <t>3.2.4</t>
  </si>
  <si>
    <t>3.2.6</t>
  </si>
  <si>
    <t>3.2.7</t>
  </si>
  <si>
    <t>3.2.8</t>
  </si>
  <si>
    <t>3.2.9</t>
  </si>
  <si>
    <t>3.2.10</t>
  </si>
  <si>
    <t>3.2.11</t>
  </si>
  <si>
    <t>3.2.12</t>
  </si>
  <si>
    <t>3.2.13</t>
  </si>
  <si>
    <t>3.2.14</t>
  </si>
  <si>
    <t>3.2.15</t>
  </si>
  <si>
    <t xml:space="preserve">The standards are written as statements of fact -- if you agree that the statement is true for your ship's program, check the block and "false" will change to "true".  If you do not believe the statement is true, leave the block unchecked, so the answer remains "false", meaning your program does not comply with that standard.  When you have checked all the blocks for the standards with which you comply (and have left the others unchecked) in each tab, go to the Scoring Matrix tab to see your final, composite score. It is very unlikely that your ship will meet all the standards and that shouldn't be interpreted negatively.  The more your ship complies, the higher the score.  Any score above 5 is considered satisfactory and above 7 is outstanding.    </t>
  </si>
  <si>
    <t>Afloat Recreation Service Level Matrix</t>
  </si>
  <si>
    <t xml:space="preserve">Your Final Score is </t>
  </si>
  <si>
    <t>Which is COL</t>
  </si>
  <si>
    <r>
      <rPr>
        <b/>
        <u/>
        <sz val="12"/>
        <color theme="1"/>
        <rFont val="Times New Roman"/>
        <family val="1"/>
      </rPr>
      <t>Command Fitness Leader (CFL)</t>
    </r>
    <r>
      <rPr>
        <sz val="12"/>
        <color theme="1"/>
        <rFont val="Times New Roman"/>
        <family val="1"/>
      </rPr>
      <t xml:space="preserve">
The CFL is an E-6 or above (preferred) appointed in writing by the Commanding Officer (CO) and is the primary advisor to the CO on all Physical Readiness Program matters. The CFL administers the semi-annual Physical Fitness Assessment (PFA), manages command/unit Physical Training (PT) and the Fitness Enhancement Program (FEP). 
</t>
    </r>
  </si>
  <si>
    <r>
      <rPr>
        <b/>
        <u/>
        <sz val="12"/>
        <color theme="1"/>
        <rFont val="Times New Roman"/>
        <family val="1"/>
      </rPr>
      <t>Recreation Assistant</t>
    </r>
    <r>
      <rPr>
        <sz val="12"/>
        <color theme="1"/>
        <rFont val="Times New Roman"/>
        <family val="1"/>
      </rPr>
      <t xml:space="preserve">
The Recreation Assistant reports directly to the RSO, Leading Chief Petty Officer, Afloat Recreation Specialist or Afloat Fitness Specialist and can be a Temporarily Assigned Duty (TDA) or a collateral duty position in support of the MWR Division onboard. The Recreation Assistant will assist with the day to day operations of the division with responsibilities in recreation and/or fitness.  
</t>
    </r>
  </si>
  <si>
    <r>
      <rPr>
        <b/>
        <u/>
        <sz val="12"/>
        <color theme="1"/>
        <rFont val="Times New Roman"/>
        <family val="1"/>
      </rPr>
      <t>Recreation Services Officer (RSO)</t>
    </r>
    <r>
      <rPr>
        <sz val="12"/>
        <color theme="1"/>
        <rFont val="Times New Roman"/>
        <family val="1"/>
      </rPr>
      <t xml:space="preserve">
The RSO is appointed to exercise administrative and executive control and accountability for the recreation program.  For the purpose of continuity, tenure as RSO should be at least one year.  The RSO must be designated in writing by the Commanding Officer.  In cases where there is a lack of Commissioned Officers, a qualified Chief Petty Officer (CPO) or higher may be assigned. The RSO is responsible to the Commanding Officer for the proper functioning of the recreation program.  Personnel assigned to the recreation program report to the RSO.</t>
    </r>
  </si>
  <si>
    <t>Recreation Services Officer</t>
  </si>
  <si>
    <t>Recreation Fund Custodian</t>
  </si>
  <si>
    <t>Command Fitness Leader</t>
  </si>
  <si>
    <t>Athletics Officer</t>
  </si>
  <si>
    <t>Fitness Equipment Officer</t>
  </si>
  <si>
    <t>Funds Custodian</t>
  </si>
  <si>
    <t>-</t>
  </si>
  <si>
    <t>REQUIRED CARDIO LOOKUP TABLE</t>
  </si>
  <si>
    <t>REQUIRED STRENGTH LOOKUP TABLE</t>
  </si>
  <si>
    <t>REQUIRED ADJ WEIGHT STACK MACHINES LOOKUP TABLE</t>
  </si>
  <si>
    <t>REQUIRED PLATE LOADED MACHINES LOOKUP TABLE</t>
  </si>
  <si>
    <r>
      <rPr>
        <b/>
        <sz val="12"/>
        <color theme="1"/>
        <rFont val="Times New Roman"/>
        <family val="1"/>
      </rPr>
      <t>Recreation and Fitness Programs (Directed &amp; Filler Activities):</t>
    </r>
    <r>
      <rPr>
        <sz val="12"/>
        <color theme="1"/>
        <rFont val="Times New Roman"/>
        <family val="1"/>
      </rPr>
      <t xml:space="preserve">
Recreational program and event offerings that meet the leisure interests and needs of the command. Activities are scheduled and are facilitated or organized by the MWR staff , RSO or other trained staff member.  These can be fee-based or free activities.
Recreation Examples: movie nights, bingo, board game night, open mic night, fishing, arts and crafts,  Texas hold em night, karaoke, etc. 
Fitness Examples: aerobics, group exercise, remedial PT, fitness assessments, smoking cessation, personal training, etc.  
</t>
    </r>
  </si>
  <si>
    <r>
      <t xml:space="preserve">Command Wide/Theme Events:
</t>
    </r>
    <r>
      <rPr>
        <sz val="12"/>
        <color theme="1"/>
        <rFont val="Times New Roman"/>
        <family val="1"/>
      </rPr>
      <t xml:space="preserve">These events are typically singular occurrences that focus on a central idea or concept. These events are larger in nature than directed and filler activities and designed to include at least ½ of the crew. 
Recreation Examples: Command picnic, holiday party, Super Bowl party and concert on the ship, etc.
Fitness Examples include command fun run, wellness fair, golf outing, Captain’s Cup – internal to the ship, etc.
</t>
    </r>
    <r>
      <rPr>
        <b/>
        <sz val="12"/>
        <color theme="1"/>
        <rFont val="Times New Roman"/>
        <family val="1"/>
      </rPr>
      <t xml:space="preserve">
</t>
    </r>
  </si>
  <si>
    <r>
      <rPr>
        <b/>
        <sz val="12"/>
        <color theme="1"/>
        <rFont val="Times New Roman"/>
        <family val="1"/>
      </rPr>
      <t xml:space="preserve">Tickets: </t>
    </r>
    <r>
      <rPr>
        <sz val="12"/>
        <color theme="1"/>
        <rFont val="Times New Roman"/>
        <family val="1"/>
      </rPr>
      <t xml:space="preserve">
Offers admission to local attractions and events. 
Examples: Sporting tickets (football, baseball, basketball, hockey), concerts, movies, plays,  theme parks, etc. 
</t>
    </r>
  </si>
  <si>
    <r>
      <rPr>
        <b/>
        <sz val="12"/>
        <color theme="1"/>
        <rFont val="Times New Roman"/>
        <family val="1"/>
      </rPr>
      <t xml:space="preserve">Skills/Knowledge Classes: </t>
    </r>
    <r>
      <rPr>
        <sz val="12"/>
        <color theme="1"/>
        <rFont val="Times New Roman"/>
        <family val="1"/>
      </rPr>
      <t xml:space="preserve">
Activities should be offered to address proficiency levels for a variety of programs. The average programming timeframe for one class is two hours. These could include a scheduled training, instruction, seminar and/or specialized guidance led by the RSO/staff member, a volunteer or contracted professional. 
Recreation examples: art classes, golf instruction, ski lessons, cooking class, paddle boarding clinics, etc. 
Fitness examples include equipment usage indoctrination, wellness classes, sports safety classes, nutrition classes, introduction to exercise programs (TRX, NOFFS), sports skills conditioning, etc.
</t>
    </r>
  </si>
  <si>
    <t xml:space="preserve">A standard is a statement of desirable practice as set forth by experienced professionals. In evaluating an 
agency, the standards are a measure of effectiveness using the cause and effect (“if...then”) approach. If one acts in a certain way, then it is expected that there will be a certain outcome. 
In practice, if an agency complies with a given standard, then it is expected that the agency’s operations related to that standard will be positively affected.  
Viewed holistically, if an agency complies with the vast majority of the standards, then it is understood that the agency is performing a quality operation. Standards enable evaluation by comparing what is found within an agency operation to what is accepted by professionals as desirable practices. 
</t>
  </si>
  <si>
    <r>
      <t xml:space="preserve">Competitions:
</t>
    </r>
    <r>
      <rPr>
        <sz val="12"/>
        <color theme="1"/>
        <rFont val="Times New Roman"/>
        <family val="1"/>
      </rPr>
      <t xml:space="preserve">Any event challenging the participant’s mental, physical, and or social skills.
Recreation Examples: passageway golf; Trivia, holiday hatch decorating contest, dodgeball tournament, etc.
Fitness Examples: These may be individual or team activities, comprised of men, women or coed participants. DC Olympics, basketball shootout, electronic triathlon, arm wrestling, incentive programs, bench press competition, push up contest, etc.
</t>
    </r>
    <r>
      <rPr>
        <b/>
        <sz val="12"/>
        <color theme="1"/>
        <rFont val="Times New Roman"/>
        <family val="1"/>
      </rPr>
      <t xml:space="preserve">
</t>
    </r>
  </si>
  <si>
    <t>Calculate your average number of times each type of activity is conducted per month.  Check the box in the section that comes the closest without going over. 
                                                                           Activities per month</t>
  </si>
  <si>
    <t>This document was developed to assist you in assessing your ship's level of compliance with approved Navy standards. The worksheets allow you to indicate whether or not you comply with each standard.  As you check the blocks, the workbook calculates a total score (see the bottom of each sheet and the Scoring Matrix tab).   You must score yourself in all five metric areas (Personnel, Facilities, Programs, Equipment and Administration). Worksheets (tabs) have been prepared for each area, just click on a tab to begin working.  The metric areas are organized as follows, see the tab for each:</t>
  </si>
  <si>
    <r>
      <rPr>
        <b/>
        <sz val="12"/>
        <color theme="1"/>
        <rFont val="Times New Roman"/>
        <family val="1"/>
      </rPr>
      <t xml:space="preserve">Trips/Tours:
</t>
    </r>
    <r>
      <rPr>
        <sz val="12"/>
        <color theme="1"/>
        <rFont val="Times New Roman"/>
        <family val="1"/>
      </rPr>
      <t xml:space="preserve">
</t>
    </r>
    <r>
      <rPr>
        <b/>
        <sz val="12"/>
        <color theme="1"/>
        <rFont val="Times New Roman"/>
        <family val="1"/>
      </rPr>
      <t>Trips</t>
    </r>
    <r>
      <rPr>
        <sz val="12"/>
        <color theme="1"/>
        <rFont val="Times New Roman"/>
        <family val="1"/>
      </rPr>
      <t xml:space="preserve"> provide transportation to a specified destination. Participants have the option to explore the destination on their own. </t>
    </r>
    <r>
      <rPr>
        <b/>
        <sz val="12"/>
        <color theme="1"/>
        <rFont val="Times New Roman"/>
        <family val="1"/>
      </rPr>
      <t>Tours</t>
    </r>
    <r>
      <rPr>
        <sz val="12"/>
        <color theme="1"/>
        <rFont val="Times New Roman"/>
        <family val="1"/>
      </rPr>
      <t xml:space="preserve"> may or may not provide transportation and include a destination facilitated sightseeing guide services. 
Examples: Local, State or National Park trips, hiking trips, museum trips, ski and snowboarding, sporting event trips,  television filming trip, etc.  
</t>
    </r>
  </si>
  <si>
    <t>Select one answer for standard 5.1.4</t>
  </si>
  <si>
    <r>
      <t xml:space="preserve">If this ship </t>
    </r>
    <r>
      <rPr>
        <u/>
        <sz val="12"/>
        <color theme="1"/>
        <rFont val="Times New Roman"/>
        <family val="1"/>
      </rPr>
      <t>has a ship's store</t>
    </r>
    <r>
      <rPr>
        <sz val="12"/>
        <color theme="1"/>
        <rFont val="Times New Roman"/>
        <family val="1"/>
      </rPr>
      <t>, check the box to the right and skip standard 5.1.5.</t>
    </r>
  </si>
  <si>
    <t xml:space="preserve">Gear should include a wide variety of equipment to meet the diverse recreational interests of the crew. 
     Picnic Bags (bats, bases, balls, catcher equip., softball gloves,   frisbees, squirt guns, volleyball equipment, horseshoes)
     Box/board games (such as Risk, Chess, Checkers, Dominos, Cribbage, Battleship, Trivial Pursuit, Backgammon)
     Playing cards
     Basketball, Footballs, Soccer balls
     Fishing rods w/reels
     Water coolers
     Ice chests
     Dart boards
     Video game players
     Computer games
     Hand held video games
     Cornhole equipment
Gear should include a wide variety of equipment to meet the diverse recreational interests of the crew. 
</t>
  </si>
  <si>
    <r>
      <rPr>
        <b/>
        <sz val="12"/>
        <color theme="1"/>
        <rFont val="Times New Roman"/>
        <family val="1"/>
      </rPr>
      <t>All ships</t>
    </r>
    <r>
      <rPr>
        <sz val="12"/>
        <color theme="1"/>
        <rFont val="Times New Roman"/>
        <family val="1"/>
      </rPr>
      <t xml:space="preserve">
     Bingo equipment
     Karaoke machine
     Movie equipment
     Portable PA system 
     BBQ equipment (all but subs)  
</t>
    </r>
    <r>
      <rPr>
        <b/>
        <sz val="12"/>
        <color theme="1"/>
        <rFont val="Times New Roman"/>
        <family val="1"/>
      </rPr>
      <t>Large deck</t>
    </r>
    <r>
      <rPr>
        <sz val="12"/>
        <color theme="1"/>
        <rFont val="Times New Roman"/>
        <family val="1"/>
      </rPr>
      <t xml:space="preserve">
     Band equipment
     Basketball system
     Inflatables
</t>
    </r>
  </si>
  <si>
    <t xml:space="preserve">   </t>
  </si>
  <si>
    <t xml:space="preserve">Recreation Services Officer has completed the required CNIC Afloat Recreation Program Management Course. (Should be completed prior to but no later than one month after assumption of duties.) </t>
  </si>
  <si>
    <t xml:space="preserve">The Recreation Fund Custodian has completed the required CNIC Afloat Recreation Program Management Course. (Should be completed prior to but no later than one month after assumption of duties.) </t>
  </si>
  <si>
    <t>NAVY  AFLOAT RECREATION AND FITNESS (SHIPBOARD) STANDARDS</t>
  </si>
  <si>
    <r>
      <rPr>
        <b/>
        <u/>
        <sz val="12"/>
        <color theme="1"/>
        <rFont val="Times New Roman"/>
        <family val="1"/>
      </rPr>
      <t>Recreation Fund Custodian (RFC)</t>
    </r>
    <r>
      <rPr>
        <sz val="12"/>
        <color theme="1"/>
        <rFont val="Times New Roman"/>
        <family val="1"/>
      </rPr>
      <t xml:space="preserve">
The FC establishes necessary internal controls and records to ensure proper receipt, safe-keeping, deposit, disbursement and accountability of the Afloat Recreation NAF.  The FC must be designated in writing by the Commanding Officer.  In cases where there is a lack of Commissioned Officers, a qualified Chief Petty Officer (CPO) or higher may be assigned. The FC is responsible to the Commanding Officer for proper accountability of the recreation program.
</t>
    </r>
  </si>
  <si>
    <r>
      <rPr>
        <b/>
        <u/>
        <sz val="12"/>
        <rFont val="Times New Roman"/>
        <family val="1"/>
      </rPr>
      <t>Library Officer</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Library Officers are no longer required to be designated in writing as a collateral duty.  On large decks, the Library Officer has typically been the Chaplain; on a smaller vessel it is normally a Religious Personell (RP). The Library Officer is responsible for ensuring the onboard library is outfitted with paperback books, materials, furniture and other resources necessary to operate a functional library on their class of ship. The LO reports to the RSO regarding the effective management of the ship's library.
</t>
    </r>
  </si>
  <si>
    <r>
      <rPr>
        <b/>
        <u/>
        <sz val="12"/>
        <rFont val="Times New Roman"/>
        <family val="1"/>
      </rPr>
      <t>Movie Officer</t>
    </r>
    <r>
      <rPr>
        <b/>
        <sz val="12"/>
        <rFont val="Times New Roman"/>
        <family val="1"/>
      </rPr>
      <t xml:space="preserve">  </t>
    </r>
    <r>
      <rPr>
        <b/>
        <i/>
        <sz val="12"/>
        <rFont val="Times New Roman"/>
        <family val="1"/>
      </rPr>
      <t>Recommended</t>
    </r>
    <r>
      <rPr>
        <sz val="12"/>
        <rFont val="Times New Roman"/>
        <family val="1"/>
      </rPr>
      <t xml:space="preserve">
The Navy Motion Picture Service (NMPS) movie program officer will be responsible for the safeguarding and utilization of the daily NMPS program onboard. This duty is normally within the Public Affairs Office (PAO) or Defense Media Activity (DMA). When ships have a cinema at sea program (CASI) then the Recreation Services Officer or Afloat Recreation Specialist will be responsible for the equipment and operation of special movie nights. 
</t>
    </r>
  </si>
  <si>
    <r>
      <rPr>
        <b/>
        <u/>
        <sz val="12"/>
        <rFont val="Times New Roman"/>
        <family val="1"/>
      </rPr>
      <t>Fitness Equipment Officer (FEO)</t>
    </r>
    <r>
      <rPr>
        <b/>
        <sz val="12"/>
        <rFont val="Times New Roman"/>
        <family val="1"/>
      </rPr>
      <t xml:space="preserve"> </t>
    </r>
    <r>
      <rPr>
        <b/>
        <i/>
        <sz val="12"/>
        <rFont val="Times New Roman"/>
        <family val="1"/>
      </rPr>
      <t>Recommended</t>
    </r>
    <r>
      <rPr>
        <sz val="12"/>
        <rFont val="Times New Roman"/>
        <family val="1"/>
      </rPr>
      <t xml:space="preserve">
The FEO does not have to be designated in writing. FEO is responsible for the operation, cleanliness and safety of all ship fitness spaces and fitness equipment. The FEO reports to the RSO regarding the effective management of the fitness equipment.
</t>
    </r>
  </si>
  <si>
    <r>
      <rPr>
        <b/>
        <u/>
        <sz val="12"/>
        <rFont val="Times New Roman"/>
        <family val="1"/>
      </rPr>
      <t>Athletics Officer (AO)</t>
    </r>
    <r>
      <rPr>
        <b/>
        <sz val="12"/>
        <rFont val="Times New Roman"/>
        <family val="1"/>
      </rPr>
      <t xml:space="preserve"> </t>
    </r>
    <r>
      <rPr>
        <b/>
        <i/>
        <sz val="12"/>
        <rFont val="Times New Roman"/>
        <family val="1"/>
      </rPr>
      <t>Recommended, but no longer required as collateral duty per NAVADMIN 168-17</t>
    </r>
    <r>
      <rPr>
        <sz val="12"/>
        <rFont val="Times New Roman"/>
        <family val="1"/>
      </rPr>
      <t xml:space="preserve">
The AO does not have to be designated in writing. AO organizes and administers the sports component of the Afloat Recreation  and Fitness Program.  The AO reports to the RSO regarding the effective management of the athletics program.
</t>
    </r>
  </si>
  <si>
    <t>Recommended</t>
  </si>
  <si>
    <t>CNICINST 1710.5 Administration of Afloat Recreation Programs</t>
  </si>
  <si>
    <t xml:space="preserve">CNICINST 1710.3 Operation of Morale, Welfare and Recreation (MWR) Programs 
</t>
  </si>
  <si>
    <t>CNICINST 1710.5 Admininstration of Afloat Recreation Programs</t>
  </si>
  <si>
    <t>The ship received an overall outstanding score on the last CNIC Afloat Recreation Program Inspection (90-100 score)</t>
  </si>
  <si>
    <t>The ship received an overall satisfactory score on the last CNIC Afloat Recreation Program Inspection (75-89 score).</t>
  </si>
  <si>
    <t>The ship has at least this number of cardio equipment from the list below:</t>
  </si>
  <si>
    <t xml:space="preserve">60% of cardio is from the list below </t>
  </si>
  <si>
    <t xml:space="preserve">Rower </t>
  </si>
  <si>
    <t xml:space="preserve">20% of cardio is from the list below </t>
  </si>
  <si>
    <t xml:space="preserve">Elliptical Trainer </t>
  </si>
  <si>
    <t xml:space="preserve">Spinning Cycle </t>
  </si>
  <si>
    <t xml:space="preserve">Versa Climber </t>
  </si>
  <si>
    <t>Self-Powered Treadmill</t>
  </si>
  <si>
    <t xml:space="preserve">Air Bike </t>
  </si>
  <si>
    <t xml:space="preserve">Bike Erg </t>
  </si>
  <si>
    <t xml:space="preserve">Ski Erg </t>
  </si>
  <si>
    <t>Required Strength Equipment</t>
  </si>
  <si>
    <t>The ship has at least this number of strength equipment in the list below:  </t>
  </si>
  <si>
    <t>Required Weight Machines</t>
  </si>
  <si>
    <t>The ship has at least this number of weight machines (Adjustable Weight Stack or Plate Loaded) from the list below:</t>
  </si>
  <si>
    <t xml:space="preserve">Adjustable Weight Stack </t>
  </si>
  <si>
    <t xml:space="preserve">Adj Weight Stack Compact Functional Trainer </t>
  </si>
  <si>
    <t>Plate Loaded Machines</t>
  </si>
  <si>
    <t xml:space="preserve">Adjustable Decline Ab Bench </t>
  </si>
  <si>
    <r>
      <t xml:space="preserve">Plate Loaded </t>
    </r>
    <r>
      <rPr>
        <sz val="12"/>
        <rFont val="Times New Roman"/>
        <family val="1"/>
      </rPr>
      <t>Tree and or Rack</t>
    </r>
  </si>
  <si>
    <t>Plate Loaded Smith Machine                                                           (Weight Plates Ea Machine) 45Lb-6,35Lb-2, 25Lb-6, 10Lb-4, 5Lb-4, 2.5Lb-4 &amp; bench (if needed)</t>
  </si>
  <si>
    <t>Plate Loaded Squat Rack                                                           (Weight Plates Ea Machine) 45Lb-6,35Lb-2, 25Lb-6, 10Lb-4, 5Lb-4, 2.5Lb-4  with/olympic bar &amp; bench (if needed)</t>
  </si>
  <si>
    <t xml:space="preserve">Other Strength/Accessory Equipment </t>
  </si>
  <si>
    <t>The ship has moveable gym boxes (not connex)</t>
  </si>
  <si>
    <t xml:space="preserve">Dual or Single Rack Gym Box </t>
  </si>
  <si>
    <t xml:space="preserve">The ship has additional equipment available </t>
  </si>
  <si>
    <t>Adjustable Dumbell Sets (U50 or U90)</t>
  </si>
  <si>
    <t xml:space="preserve">Kettlebells - up to 44kg </t>
  </si>
  <si>
    <t xml:space="preserve">Non-Reactive Medicine Balls </t>
  </si>
  <si>
    <t xml:space="preserve">Olympic Bars </t>
  </si>
  <si>
    <t xml:space="preserve">Bumper Plates </t>
  </si>
  <si>
    <t xml:space="preserve">Cushioned Plyo Boxes </t>
  </si>
  <si>
    <t xml:space="preserve">Battle Ropes </t>
  </si>
  <si>
    <t xml:space="preserve">Jump Ropes </t>
  </si>
  <si>
    <t xml:space="preserve">Lacrosse Balls </t>
  </si>
  <si>
    <t xml:space="preserve">Foam Rollers </t>
  </si>
  <si>
    <t>4.2.12</t>
  </si>
  <si>
    <t>4.2.13</t>
  </si>
  <si>
    <t>4.2.14</t>
  </si>
  <si>
    <t>At least one treadmill deck</t>
  </si>
  <si>
    <t xml:space="preserve">One replacement belt for every 3 treadmills </t>
  </si>
  <si>
    <t>One replacement cable for each adjustable weight stack machine.</t>
  </si>
  <si>
    <t>One set of replacement pads for every bench: flat, incline, decline &amp; adjustable decline ab. (deployment only)</t>
  </si>
  <si>
    <t>Adj Weight Stack Bicep Tricep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</si>
</sst>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
  </numFmts>
  <fonts count="59" x14ac:knownFonts="1">
    <font>
      <sz val="11"/>
      <color theme="1"/>
      <name val="Calibri"/>
      <family val="2"/>
      <scheme val="minor"/>
    </font>
    <font>
      <sz val="12"/>
      <color indexed="8"/>
      <name val="Times New Roman"/>
      <family val="1"/>
    </font>
    <font>
      <b/>
      <sz val="12"/>
      <color indexed="8"/>
      <name val="Times New Roman"/>
      <family val="1"/>
    </font>
    <font>
      <b/>
      <sz val="12"/>
      <name val="Times New Roman"/>
      <family val="1"/>
    </font>
    <font>
      <sz val="10"/>
      <name val="Arial"/>
      <family val="2"/>
    </font>
    <font>
      <sz val="12"/>
      <name val="Times New Roman"/>
      <family val="1"/>
    </font>
    <font>
      <sz val="11"/>
      <color indexed="8"/>
      <name val="Calibri"/>
      <family val="2"/>
    </font>
    <font>
      <sz val="12"/>
      <color indexed="8"/>
      <name val="Times New Roman"/>
      <family val="1"/>
    </font>
    <font>
      <b/>
      <sz val="12"/>
      <color indexed="8"/>
      <name val="Times New Roman"/>
      <family val="1"/>
    </font>
    <font>
      <sz val="12"/>
      <color indexed="8"/>
      <name val="Calibri"/>
      <family val="2"/>
    </font>
    <font>
      <sz val="11"/>
      <color indexed="8"/>
      <name val="Times New Roman"/>
      <family val="1"/>
    </font>
    <font>
      <sz val="12"/>
      <color indexed="10"/>
      <name val="Times New Roman"/>
      <family val="1"/>
    </font>
    <font>
      <sz val="12"/>
      <color indexed="10"/>
      <name val="Calibri"/>
      <family val="2"/>
    </font>
    <font>
      <sz val="12"/>
      <color indexed="8"/>
      <name val="Times New Roman"/>
      <family val="1"/>
    </font>
    <font>
      <b/>
      <sz val="12"/>
      <color indexed="8"/>
      <name val="Arial"/>
      <family val="2"/>
    </font>
    <font>
      <sz val="12"/>
      <color indexed="40"/>
      <name val="Times New Roman"/>
      <family val="1"/>
    </font>
    <font>
      <sz val="8"/>
      <name val="Calibri"/>
      <family val="2"/>
    </font>
    <font>
      <i/>
      <sz val="12"/>
      <name val="Times New Roman"/>
      <family val="1"/>
    </font>
    <font>
      <b/>
      <sz val="12"/>
      <name val="Times"/>
      <family val="1"/>
    </font>
    <font>
      <sz val="12"/>
      <name val="Times"/>
      <family val="1"/>
    </font>
    <font>
      <sz val="11"/>
      <name val="Times New Roman"/>
      <family val="1"/>
    </font>
    <font>
      <b/>
      <sz val="12"/>
      <name val="Times"/>
    </font>
    <font>
      <b/>
      <sz val="10"/>
      <name val="Times"/>
      <family val="1"/>
    </font>
    <font>
      <sz val="11"/>
      <color rgb="FFFF0000"/>
      <name val="Calibri"/>
      <family val="2"/>
      <scheme val="minor"/>
    </font>
    <font>
      <sz val="12"/>
      <color rgb="FF000000"/>
      <name val="Times New Roman"/>
      <family val="1"/>
    </font>
    <font>
      <sz val="12"/>
      <color theme="1"/>
      <name val="Times New Roman"/>
      <family val="1"/>
    </font>
    <font>
      <sz val="12"/>
      <color rgb="FFFF0000"/>
      <name val="Times New Roman"/>
      <family val="1"/>
    </font>
    <font>
      <sz val="12"/>
      <color rgb="FF000000"/>
      <name val="Calibri"/>
      <family val="2"/>
      <scheme val="minor"/>
    </font>
    <font>
      <b/>
      <sz val="12"/>
      <color theme="1"/>
      <name val="Times New Roman"/>
      <family val="1"/>
    </font>
    <font>
      <sz val="12"/>
      <color theme="1"/>
      <name val="Calibri"/>
      <family val="2"/>
      <scheme val="minor"/>
    </font>
    <font>
      <sz val="11"/>
      <color theme="1"/>
      <name val="Times New Roman"/>
      <family val="1"/>
    </font>
    <font>
      <b/>
      <sz val="16"/>
      <color theme="1"/>
      <name val="Times New Roman"/>
      <family val="1"/>
    </font>
    <font>
      <sz val="13"/>
      <color theme="1"/>
      <name val="Times New Roman"/>
      <family val="1"/>
    </font>
    <font>
      <b/>
      <sz val="12"/>
      <color rgb="FF000000"/>
      <name val="Times New Roman"/>
      <family val="1"/>
    </font>
    <font>
      <i/>
      <sz val="12"/>
      <color rgb="FF000000"/>
      <name val="Times New Roman"/>
      <family val="1"/>
    </font>
    <font>
      <b/>
      <sz val="12"/>
      <name val="Times New Roman"/>
      <family val="1"/>
    </font>
    <font>
      <sz val="12"/>
      <name val="Times New Roman"/>
      <family val="1"/>
    </font>
    <font>
      <b/>
      <sz val="10"/>
      <name val="Arial"/>
      <family val="2"/>
    </font>
    <font>
      <b/>
      <sz val="12"/>
      <color rgb="FF000000"/>
      <name val="Arial"/>
      <family val="2"/>
    </font>
    <font>
      <sz val="12"/>
      <color rgb="FF000000"/>
      <name val="Arial"/>
      <family val="2"/>
    </font>
    <font>
      <b/>
      <sz val="11"/>
      <color theme="1"/>
      <name val="Times New Roman"/>
      <family val="1"/>
    </font>
    <font>
      <sz val="11"/>
      <color rgb="FF000000"/>
      <name val="Times New Roman"/>
      <family val="1"/>
    </font>
    <font>
      <sz val="11"/>
      <color theme="1"/>
      <name val="Calibri"/>
      <family val="2"/>
    </font>
    <font>
      <b/>
      <sz val="11"/>
      <color rgb="FF000000"/>
      <name val="Times New Roman"/>
      <family val="1"/>
    </font>
    <font>
      <i/>
      <sz val="11"/>
      <color rgb="FF000000"/>
      <name val="Times New Roman"/>
      <family val="1"/>
    </font>
    <font>
      <b/>
      <sz val="11"/>
      <color theme="1"/>
      <name val="Calibri"/>
      <family val="2"/>
      <scheme val="minor"/>
    </font>
    <font>
      <i/>
      <u/>
      <sz val="12"/>
      <name val="Times New Roman"/>
      <family val="1"/>
    </font>
    <font>
      <i/>
      <sz val="12"/>
      <color indexed="8"/>
      <name val="Times New Roman"/>
      <family val="1"/>
    </font>
    <font>
      <b/>
      <sz val="10"/>
      <color theme="1"/>
      <name val="Calibri"/>
      <family val="2"/>
      <scheme val="minor"/>
    </font>
    <font>
      <b/>
      <sz val="14"/>
      <color theme="1"/>
      <name val="Calibri"/>
      <family val="2"/>
      <scheme val="minor"/>
    </font>
    <font>
      <sz val="11"/>
      <color theme="0"/>
      <name val="Calibri"/>
      <family val="2"/>
      <scheme val="minor"/>
    </font>
    <font>
      <sz val="11"/>
      <color theme="0"/>
      <name val="Times New Roman"/>
      <family val="1"/>
    </font>
    <font>
      <b/>
      <u/>
      <sz val="12"/>
      <color theme="1"/>
      <name val="Times New Roman"/>
      <family val="1"/>
    </font>
    <font>
      <u/>
      <sz val="12"/>
      <color theme="1"/>
      <name val="Times New Roman"/>
      <family val="1"/>
    </font>
    <font>
      <sz val="11"/>
      <name val="Calibri"/>
      <family val="2"/>
      <scheme val="minor"/>
    </font>
    <font>
      <sz val="12"/>
      <name val="Calibri"/>
      <family val="2"/>
      <scheme val="minor"/>
    </font>
    <font>
      <sz val="12"/>
      <name val="Calibri"/>
      <family val="2"/>
    </font>
    <font>
      <b/>
      <u/>
      <sz val="12"/>
      <name val="Times New Roman"/>
      <family val="1"/>
    </font>
    <font>
      <b/>
      <i/>
      <sz val="12"/>
      <name val="Times New Roman"/>
      <family val="1"/>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2" tint="-9.9978637043366805E-2"/>
        <bgColor indexed="64"/>
      </patternFill>
    </fill>
    <fill>
      <patternFill patternType="solid">
        <fgColor indexed="23"/>
        <bgColor indexed="64"/>
      </patternFill>
    </fill>
    <fill>
      <patternFill patternType="solid">
        <fgColor theme="0"/>
        <bgColor indexed="64"/>
      </patternFill>
    </fill>
    <fill>
      <patternFill patternType="solid">
        <fgColor theme="2" tint="-9.9978637043366805E-2"/>
        <bgColor rgb="FF000000"/>
      </patternFill>
    </fill>
  </fills>
  <borders count="92">
    <border>
      <left/>
      <right/>
      <top/>
      <bottom/>
      <diagonal/>
    </border>
    <border>
      <left style="double">
        <color indexed="64"/>
      </left>
      <right/>
      <top/>
      <bottom/>
      <diagonal/>
    </border>
    <border>
      <left style="thin">
        <color indexed="64"/>
      </left>
      <right style="double">
        <color indexed="64"/>
      </right>
      <top/>
      <bottom/>
      <diagonal/>
    </border>
    <border>
      <left/>
      <right style="double">
        <color indexed="64"/>
      </right>
      <top/>
      <bottom/>
      <diagonal/>
    </border>
    <border>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double">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double">
        <color indexed="64"/>
      </left>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medium">
        <color indexed="64"/>
      </top>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double">
        <color indexed="64"/>
      </right>
      <top style="double">
        <color indexed="64"/>
      </top>
      <bottom style="medium">
        <color indexed="64"/>
      </bottom>
      <diagonal/>
    </border>
    <border>
      <left style="double">
        <color indexed="64"/>
      </left>
      <right/>
      <top/>
      <bottom style="thin">
        <color indexed="64"/>
      </bottom>
      <diagonal/>
    </border>
    <border>
      <left/>
      <right/>
      <top style="double">
        <color indexed="64"/>
      </top>
      <bottom style="thin">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auto="1"/>
      </left>
      <right style="dashed">
        <color auto="1"/>
      </right>
      <top style="dashed">
        <color auto="1"/>
      </top>
      <bottom style="dashed">
        <color auto="1"/>
      </bottom>
      <diagonal/>
    </border>
    <border>
      <left style="thin">
        <color indexed="64"/>
      </left>
      <right style="thin">
        <color indexed="64"/>
      </right>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2">
    <xf numFmtId="0" fontId="0" fillId="0" borderId="0"/>
    <xf numFmtId="9" fontId="6" fillId="0" borderId="0" applyFont="0" applyFill="0" applyBorder="0" applyAlignment="0" applyProtection="0"/>
  </cellStyleXfs>
  <cellXfs count="643">
    <xf numFmtId="0" fontId="0" fillId="0" borderId="0" xfId="0"/>
    <xf numFmtId="0" fontId="0" fillId="0" borderId="0" xfId="0" applyBorder="1"/>
    <xf numFmtId="0" fontId="7" fillId="0" borderId="0" xfId="0" applyFont="1" applyAlignment="1">
      <alignment horizontal="left" vertical="top" wrapText="1"/>
    </xf>
    <xf numFmtId="0" fontId="9" fillId="0" borderId="0" xfId="0" applyFont="1"/>
    <xf numFmtId="0" fontId="10" fillId="0" borderId="0" xfId="0" applyFont="1"/>
    <xf numFmtId="0" fontId="7" fillId="0" borderId="0" xfId="0" applyFont="1"/>
    <xf numFmtId="0" fontId="0" fillId="0" borderId="0" xfId="0" applyAlignment="1">
      <alignment vertical="top" wrapText="1"/>
    </xf>
    <xf numFmtId="0" fontId="8" fillId="0" borderId="0" xfId="0" applyFont="1" applyAlignment="1">
      <alignment horizontal="left" vertical="top"/>
    </xf>
    <xf numFmtId="0" fontId="7" fillId="0" borderId="4" xfId="0" applyFont="1" applyBorder="1"/>
    <xf numFmtId="0" fontId="7" fillId="0" borderId="0" xfId="0" applyFont="1" applyBorder="1"/>
    <xf numFmtId="0" fontId="7" fillId="0" borderId="0" xfId="0" applyFont="1" applyFill="1" applyBorder="1" applyAlignment="1">
      <alignment horizontal="right" vertical="center" wrapText="1"/>
    </xf>
    <xf numFmtId="0" fontId="7" fillId="0" borderId="0" xfId="0" applyFont="1" applyAlignment="1">
      <alignment horizontal="center" vertical="top"/>
    </xf>
    <xf numFmtId="0" fontId="8" fillId="0" borderId="0" xfId="0" applyFont="1" applyAlignment="1"/>
    <xf numFmtId="0" fontId="7" fillId="0" borderId="0" xfId="0" applyFont="1" applyBorder="1" applyAlignment="1">
      <alignment horizontal="center" vertical="center"/>
    </xf>
    <xf numFmtId="0" fontId="0" fillId="0" borderId="0" xfId="0" applyAlignment="1">
      <alignment horizontal="left"/>
    </xf>
    <xf numFmtId="0" fontId="7" fillId="0" borderId="0" xfId="0" applyFont="1" applyAlignment="1">
      <alignment horizontal="left"/>
    </xf>
    <xf numFmtId="0" fontId="8" fillId="0" borderId="0" xfId="0" applyFont="1" applyAlignment="1">
      <alignment vertical="top"/>
    </xf>
    <xf numFmtId="0" fontId="4" fillId="0" borderId="0" xfId="0" applyFont="1"/>
    <xf numFmtId="0" fontId="0" fillId="0" borderId="0" xfId="0" applyFill="1"/>
    <xf numFmtId="0" fontId="12" fillId="0" borderId="0" xfId="0" applyFont="1"/>
    <xf numFmtId="0" fontId="0" fillId="0" borderId="0" xfId="0" applyAlignment="1">
      <alignment wrapText="1"/>
    </xf>
    <xf numFmtId="0" fontId="8" fillId="0" borderId="11" xfId="0" applyFont="1" applyBorder="1" applyAlignment="1">
      <alignment horizontal="center"/>
    </xf>
    <xf numFmtId="0" fontId="13" fillId="0" borderId="0" xfId="0" applyFont="1" applyAlignment="1">
      <alignment horizontal="center" vertical="center"/>
    </xf>
    <xf numFmtId="0" fontId="8" fillId="0" borderId="11" xfId="0" applyFont="1" applyBorder="1" applyAlignment="1">
      <alignment horizontal="center" vertical="center"/>
    </xf>
    <xf numFmtId="0" fontId="11" fillId="0" borderId="0" xfId="0" applyFont="1" applyFill="1" applyBorder="1" applyAlignment="1">
      <alignment vertical="center" wrapText="1"/>
    </xf>
    <xf numFmtId="0" fontId="0" fillId="0" borderId="0" xfId="0" applyAlignment="1">
      <alignment horizontal="center" vertical="center"/>
    </xf>
    <xf numFmtId="0" fontId="9" fillId="0" borderId="0" xfId="0" applyFont="1" applyAlignment="1">
      <alignment horizontal="center" vertical="center"/>
    </xf>
    <xf numFmtId="0" fontId="9" fillId="0" borderId="12" xfId="0" applyFont="1" applyBorder="1"/>
    <xf numFmtId="0" fontId="13" fillId="0" borderId="0" xfId="0" applyFont="1" applyBorder="1" applyAlignment="1">
      <alignment horizontal="right" vertical="center" wrapText="1"/>
    </xf>
    <xf numFmtId="0" fontId="14" fillId="0" borderId="12" xfId="0" applyFont="1" applyBorder="1" applyAlignment="1">
      <alignment horizontal="center" vertical="top"/>
    </xf>
    <xf numFmtId="0" fontId="9" fillId="0" borderId="0" xfId="0" applyFont="1" applyAlignment="1">
      <alignment horizontal="center" vertical="top"/>
    </xf>
    <xf numFmtId="0" fontId="8" fillId="0" borderId="1" xfId="0" applyFont="1" applyBorder="1" applyAlignment="1">
      <alignment horizontal="center" vertical="top"/>
    </xf>
    <xf numFmtId="0" fontId="7" fillId="0" borderId="7" xfId="0" applyFont="1" applyBorder="1"/>
    <xf numFmtId="0" fontId="15" fillId="0" borderId="0" xfId="0" applyFont="1" applyAlignment="1">
      <alignment horizontal="left" wrapText="1" indent="5"/>
    </xf>
    <xf numFmtId="1" fontId="12" fillId="0" borderId="0" xfId="0" applyNumberFormat="1" applyFont="1"/>
    <xf numFmtId="0" fontId="2" fillId="0" borderId="1" xfId="0" applyFont="1" applyBorder="1" applyAlignment="1">
      <alignment horizontal="center" vertical="top"/>
    </xf>
    <xf numFmtId="0" fontId="9" fillId="0" borderId="0" xfId="0" applyFont="1" applyBorder="1" applyAlignment="1">
      <alignment horizontal="center" vertical="center"/>
    </xf>
    <xf numFmtId="0" fontId="2" fillId="0" borderId="1" xfId="0" applyFont="1" applyFill="1" applyBorder="1" applyAlignment="1">
      <alignment horizontal="center" vertical="top"/>
    </xf>
    <xf numFmtId="0" fontId="8" fillId="0" borderId="0" xfId="0" applyFont="1" applyBorder="1" applyAlignment="1">
      <alignment horizontal="left"/>
    </xf>
    <xf numFmtId="0" fontId="23" fillId="0" borderId="0" xfId="0" applyFont="1"/>
    <xf numFmtId="0" fontId="1" fillId="0" borderId="0" xfId="0" applyFont="1"/>
    <xf numFmtId="0" fontId="29" fillId="0" borderId="0" xfId="0" applyFont="1" applyAlignment="1">
      <alignment horizontal="left" vertical="top" wrapText="1"/>
    </xf>
    <xf numFmtId="0" fontId="8" fillId="0" borderId="0" xfId="0" applyFont="1" applyAlignment="1">
      <alignment horizontal="left"/>
    </xf>
    <xf numFmtId="0" fontId="28" fillId="0" borderId="0" xfId="0" applyFont="1" applyAlignment="1">
      <alignment horizontal="center" vertical="top"/>
    </xf>
    <xf numFmtId="0" fontId="30" fillId="0" borderId="0" xfId="0" applyFont="1"/>
    <xf numFmtId="0" fontId="25" fillId="0" borderId="0" xfId="0" applyFont="1" applyAlignment="1">
      <alignment vertical="top" wrapText="1"/>
    </xf>
    <xf numFmtId="0" fontId="25" fillId="0" borderId="0" xfId="0" applyFont="1" applyAlignment="1">
      <alignment horizontal="left" indent="3"/>
    </xf>
    <xf numFmtId="0" fontId="28" fillId="0" borderId="0" xfId="0" applyFont="1"/>
    <xf numFmtId="0" fontId="25" fillId="0" borderId="0" xfId="0" applyFont="1" applyAlignment="1">
      <alignment wrapText="1"/>
    </xf>
    <xf numFmtId="0" fontId="2" fillId="0" borderId="0" xfId="0" applyFont="1" applyBorder="1" applyAlignment="1">
      <alignment horizontal="left" vertical="top" indent="10"/>
    </xf>
    <xf numFmtId="0" fontId="32" fillId="0" borderId="0" xfId="0" applyFont="1" applyAlignment="1">
      <alignment horizontal="left" vertical="top" wrapText="1" indent="5"/>
    </xf>
    <xf numFmtId="0" fontId="24" fillId="0" borderId="0" xfId="0" applyFont="1" applyAlignment="1">
      <alignment horizontal="left" indent="15"/>
    </xf>
    <xf numFmtId="0" fontId="27" fillId="0" borderId="0" xfId="0" applyFont="1"/>
    <xf numFmtId="0" fontId="33" fillId="0" borderId="0" xfId="0" applyFont="1" applyAlignment="1">
      <alignment vertical="top"/>
    </xf>
    <xf numFmtId="0" fontId="24" fillId="0" borderId="0" xfId="0" applyFont="1" applyAlignment="1">
      <alignment horizontal="center" vertical="center"/>
    </xf>
    <xf numFmtId="0" fontId="25" fillId="0" borderId="0" xfId="0" applyFont="1" applyAlignment="1">
      <alignment horizontal="left" vertical="top" indent="3"/>
    </xf>
    <xf numFmtId="0" fontId="28" fillId="0" borderId="0" xfId="0" applyFont="1" applyAlignment="1">
      <alignment vertical="top" wrapText="1"/>
    </xf>
    <xf numFmtId="0" fontId="2" fillId="0" borderId="0" xfId="0" applyFont="1" applyAlignment="1"/>
    <xf numFmtId="0" fontId="26" fillId="0" borderId="0" xfId="0" applyFont="1" applyFill="1" applyBorder="1" applyAlignment="1">
      <alignment vertical="top" wrapText="1"/>
    </xf>
    <xf numFmtId="0" fontId="30" fillId="0" borderId="0" xfId="0" applyFont="1" applyAlignment="1">
      <alignment vertical="top" wrapText="1"/>
    </xf>
    <xf numFmtId="0" fontId="11" fillId="0" borderId="7" xfId="0" applyFont="1" applyBorder="1" applyAlignment="1">
      <alignment horizontal="left" vertical="top" wrapText="1"/>
    </xf>
    <xf numFmtId="0" fontId="7" fillId="0" borderId="6" xfId="0" applyFont="1" applyBorder="1" applyAlignment="1">
      <alignment horizontal="center" vertical="top"/>
    </xf>
    <xf numFmtId="0" fontId="33" fillId="0" borderId="0" xfId="0" applyFont="1" applyAlignment="1">
      <alignment horizontal="left"/>
    </xf>
    <xf numFmtId="0" fontId="24" fillId="0" borderId="0" xfId="0" applyFont="1" applyAlignment="1">
      <alignment vertical="top"/>
    </xf>
    <xf numFmtId="0" fontId="33" fillId="0" borderId="1" xfId="0" applyFont="1" applyBorder="1" applyAlignment="1">
      <alignment vertical="top"/>
    </xf>
    <xf numFmtId="0" fontId="1" fillId="0" borderId="8" xfId="0" applyFont="1" applyFill="1" applyBorder="1" applyAlignment="1">
      <alignment horizontal="right" vertical="center" wrapText="1"/>
    </xf>
    <xf numFmtId="0" fontId="7" fillId="0" borderId="17" xfId="0" applyFont="1" applyBorder="1"/>
    <xf numFmtId="0" fontId="30"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xf>
    <xf numFmtId="0" fontId="7" fillId="0" borderId="16" xfId="0" applyFont="1" applyBorder="1" applyAlignment="1">
      <alignment horizontal="center"/>
    </xf>
    <xf numFmtId="0" fontId="24" fillId="0" borderId="0" xfId="0" applyFont="1" applyAlignment="1">
      <alignment vertical="top" wrapText="1"/>
    </xf>
    <xf numFmtId="0" fontId="23" fillId="0" borderId="0" xfId="0" applyFont="1" applyAlignment="1">
      <alignment horizontal="center" vertical="center"/>
    </xf>
    <xf numFmtId="166" fontId="7" fillId="0" borderId="15" xfId="0" applyNumberFormat="1" applyFont="1" applyBorder="1" applyAlignment="1">
      <alignment horizontal="center" wrapText="1"/>
    </xf>
    <xf numFmtId="0" fontId="2" fillId="0" borderId="12" xfId="0" applyFont="1" applyBorder="1" applyAlignment="1">
      <alignment horizontal="center" vertical="top"/>
    </xf>
    <xf numFmtId="0" fontId="2" fillId="0" borderId="11" xfId="0" applyFont="1" applyBorder="1" applyAlignment="1">
      <alignment horizontal="center"/>
    </xf>
    <xf numFmtId="0" fontId="25" fillId="0" borderId="0" xfId="0" applyFont="1" applyAlignment="1">
      <alignment horizontal="left" vertical="top" wrapText="1"/>
    </xf>
    <xf numFmtId="0" fontId="2" fillId="0" borderId="0" xfId="0" applyFont="1" applyBorder="1" applyAlignment="1"/>
    <xf numFmtId="0" fontId="4" fillId="0" borderId="0" xfId="0" applyFont="1" applyFill="1"/>
    <xf numFmtId="0" fontId="7" fillId="0" borderId="0" xfId="0" applyFont="1" applyFill="1" applyBorder="1" applyAlignment="1">
      <alignment horizontal="left"/>
    </xf>
    <xf numFmtId="0" fontId="7" fillId="0" borderId="0" xfId="0" applyFont="1" applyFill="1" applyAlignment="1">
      <alignment horizontal="left"/>
    </xf>
    <xf numFmtId="0" fontId="5" fillId="0" borderId="0" xfId="0" applyFont="1" applyBorder="1" applyAlignment="1">
      <alignment horizontal="center" vertical="center" wrapText="1"/>
    </xf>
    <xf numFmtId="0" fontId="19" fillId="0" borderId="0" xfId="0" applyFont="1" applyAlignment="1"/>
    <xf numFmtId="0" fontId="18" fillId="0" borderId="0" xfId="0" applyFont="1" applyAlignment="1"/>
    <xf numFmtId="0" fontId="19" fillId="0" borderId="36" xfId="0" applyFont="1" applyBorder="1" applyAlignment="1"/>
    <xf numFmtId="0" fontId="19" fillId="0" borderId="37" xfId="0" applyFont="1" applyBorder="1" applyAlignment="1"/>
    <xf numFmtId="0" fontId="18" fillId="0" borderId="37" xfId="0" applyFont="1" applyBorder="1" applyAlignment="1"/>
    <xf numFmtId="0" fontId="19" fillId="0" borderId="38" xfId="0" applyFont="1" applyBorder="1" applyAlignment="1"/>
    <xf numFmtId="0" fontId="19" fillId="0" borderId="39" xfId="0" applyFont="1" applyBorder="1" applyAlignment="1"/>
    <xf numFmtId="0" fontId="18" fillId="0" borderId="38" xfId="0" applyFont="1" applyBorder="1" applyAlignment="1"/>
    <xf numFmtId="0" fontId="18" fillId="0" borderId="0" xfId="0" applyFont="1" applyBorder="1" applyAlignment="1">
      <alignment vertical="center"/>
    </xf>
    <xf numFmtId="0" fontId="19" fillId="0" borderId="0" xfId="0" applyFont="1" applyBorder="1" applyAlignment="1"/>
    <xf numFmtId="0" fontId="18" fillId="0" borderId="0" xfId="0" applyFont="1" applyBorder="1" applyAlignment="1"/>
    <xf numFmtId="0" fontId="19" fillId="0" borderId="28" xfId="0" applyFont="1" applyBorder="1" applyAlignment="1"/>
    <xf numFmtId="0" fontId="19" fillId="0" borderId="0" xfId="0" applyFont="1" applyBorder="1" applyAlignment="1">
      <alignment horizontal="centerContinuous" vertical="center"/>
    </xf>
    <xf numFmtId="0" fontId="18" fillId="0" borderId="0" xfId="0" applyFont="1" applyBorder="1" applyAlignment="1">
      <alignment horizontal="centerContinuous" vertical="center"/>
    </xf>
    <xf numFmtId="0" fontId="18" fillId="0" borderId="28" xfId="0" applyFont="1" applyBorder="1" applyAlignment="1">
      <alignment horizontal="centerContinuous" vertical="center"/>
    </xf>
    <xf numFmtId="0" fontId="18" fillId="0" borderId="0" xfId="0" applyFont="1" applyAlignment="1">
      <alignment horizontal="centerContinuous" vertical="center"/>
    </xf>
    <xf numFmtId="0" fontId="18" fillId="0" borderId="36" xfId="0" applyFont="1" applyBorder="1" applyAlignment="1">
      <alignment horizontal="center" textRotation="90"/>
    </xf>
    <xf numFmtId="0" fontId="18" fillId="0" borderId="0" xfId="0" applyFont="1" applyBorder="1" applyAlignment="1">
      <alignment horizontal="center" textRotation="90"/>
    </xf>
    <xf numFmtId="0" fontId="18" fillId="0" borderId="28" xfId="0" applyFont="1" applyBorder="1" applyAlignment="1">
      <alignment horizontal="center" textRotation="90"/>
    </xf>
    <xf numFmtId="0" fontId="18" fillId="0" borderId="0" xfId="0" applyFont="1" applyAlignment="1">
      <alignment horizontal="center" textRotation="90"/>
    </xf>
    <xf numFmtId="0" fontId="22" fillId="0" borderId="0" xfId="0" applyFont="1" applyBorder="1" applyAlignment="1"/>
    <xf numFmtId="0" fontId="18" fillId="0" borderId="28" xfId="0" applyFont="1" applyBorder="1" applyAlignment="1"/>
    <xf numFmtId="0" fontId="18" fillId="0" borderId="0" xfId="0" applyFont="1" applyBorder="1" applyAlignment="1">
      <alignment horizontal="center"/>
    </xf>
    <xf numFmtId="0" fontId="19" fillId="0" borderId="0" xfId="0" applyFont="1" applyBorder="1"/>
    <xf numFmtId="0" fontId="19" fillId="0" borderId="28" xfId="0" applyFont="1" applyBorder="1"/>
    <xf numFmtId="0" fontId="19" fillId="0" borderId="0" xfId="0" applyFont="1"/>
    <xf numFmtId="0" fontId="19" fillId="0" borderId="36" xfId="0" applyFont="1" applyBorder="1"/>
    <xf numFmtId="0" fontId="18" fillId="0" borderId="28" xfId="0" applyFont="1" applyBorder="1" applyAlignment="1">
      <alignment horizontal="left"/>
    </xf>
    <xf numFmtId="0" fontId="18" fillId="0" borderId="0" xfId="0" applyFont="1" applyBorder="1" applyAlignment="1">
      <alignment horizontal="left"/>
    </xf>
    <xf numFmtId="1" fontId="18" fillId="0" borderId="51" xfId="0" applyNumberFormat="1" applyFont="1" applyBorder="1" applyAlignment="1">
      <alignment horizontal="center"/>
    </xf>
    <xf numFmtId="0" fontId="19" fillId="0" borderId="28" xfId="0" applyFont="1" applyBorder="1" applyAlignment="1">
      <alignment horizontal="left"/>
    </xf>
    <xf numFmtId="0" fontId="19" fillId="0" borderId="0" xfId="0" applyFont="1" applyBorder="1" applyAlignment="1">
      <alignment horizontal="left"/>
    </xf>
    <xf numFmtId="0" fontId="19" fillId="0" borderId="52" xfId="0" applyFont="1" applyBorder="1" applyAlignment="1"/>
    <xf numFmtId="0" fontId="18" fillId="0" borderId="52" xfId="0" applyFont="1" applyBorder="1" applyAlignment="1"/>
    <xf numFmtId="0" fontId="19" fillId="0" borderId="33" xfId="0" applyFont="1" applyBorder="1" applyAlignment="1"/>
    <xf numFmtId="0" fontId="19" fillId="0" borderId="53" xfId="0" applyFont="1" applyBorder="1" applyAlignment="1"/>
    <xf numFmtId="0" fontId="18" fillId="0" borderId="33" xfId="0" applyFont="1" applyBorder="1" applyAlignment="1"/>
    <xf numFmtId="0" fontId="35" fillId="0" borderId="0" xfId="0" applyFont="1" applyBorder="1" applyAlignment="1">
      <alignment horizontal="center" vertical="top" wrapText="1"/>
    </xf>
    <xf numFmtId="0" fontId="36" fillId="0" borderId="0" xfId="0" applyFont="1" applyBorder="1" applyAlignment="1">
      <alignment vertical="top" wrapText="1"/>
    </xf>
    <xf numFmtId="0" fontId="35" fillId="0" borderId="0" xfId="0" applyFont="1" applyBorder="1" applyAlignment="1">
      <alignment vertical="top" wrapText="1"/>
    </xf>
    <xf numFmtId="0" fontId="36" fillId="0" borderId="0" xfId="0" applyFont="1" applyFill="1" applyBorder="1" applyAlignment="1">
      <alignment vertical="top" wrapText="1"/>
    </xf>
    <xf numFmtId="0" fontId="7" fillId="0" borderId="0" xfId="0" applyFont="1" applyBorder="1" applyAlignment="1">
      <alignment horizontal="left"/>
    </xf>
    <xf numFmtId="0" fontId="5" fillId="0" borderId="0" xfId="0" applyFont="1" applyFill="1" applyBorder="1" applyAlignment="1">
      <alignment vertical="top" wrapText="1"/>
    </xf>
    <xf numFmtId="0" fontId="1" fillId="0" borderId="11" xfId="0" applyFont="1" applyBorder="1" applyAlignment="1">
      <alignment horizontal="center" vertical="center" wrapText="1"/>
    </xf>
    <xf numFmtId="0" fontId="1" fillId="0" borderId="0" xfId="0" applyFont="1" applyBorder="1" applyAlignment="1">
      <alignment horizontal="center" vertical="center"/>
    </xf>
    <xf numFmtId="0" fontId="5" fillId="0" borderId="55" xfId="0" applyFont="1" applyBorder="1" applyAlignment="1">
      <alignment vertical="top" wrapText="1"/>
    </xf>
    <xf numFmtId="0" fontId="5" fillId="0" borderId="55" xfId="0" applyFont="1" applyFill="1" applyBorder="1" applyAlignment="1">
      <alignment vertical="top" wrapText="1"/>
    </xf>
    <xf numFmtId="0" fontId="5" fillId="0" borderId="56" xfId="0" applyFont="1" applyFill="1" applyBorder="1" applyAlignment="1">
      <alignment vertical="top" wrapText="1"/>
    </xf>
    <xf numFmtId="0" fontId="4" fillId="0" borderId="0" xfId="0" applyFont="1" applyBorder="1"/>
    <xf numFmtId="0" fontId="0" fillId="0" borderId="0" xfId="0" applyFont="1" applyBorder="1" applyAlignment="1">
      <alignment horizontal="center"/>
    </xf>
    <xf numFmtId="0" fontId="1" fillId="0" borderId="0" xfId="0" applyFont="1" applyBorder="1" applyAlignment="1">
      <alignment horizontal="center" vertical="center" wrapText="1"/>
    </xf>
    <xf numFmtId="0" fontId="3" fillId="0" borderId="55" xfId="0" applyFont="1" applyBorder="1" applyAlignment="1">
      <alignment vertical="top" wrapText="1"/>
    </xf>
    <xf numFmtId="0" fontId="1" fillId="0" borderId="8" xfId="0" applyFont="1" applyBorder="1" applyAlignment="1">
      <alignment horizontal="right" vertical="center" wrapText="1"/>
    </xf>
    <xf numFmtId="164" fontId="1" fillId="0" borderId="5" xfId="0" applyNumberFormat="1" applyFont="1" applyBorder="1" applyAlignment="1">
      <alignment horizontal="center"/>
    </xf>
    <xf numFmtId="0" fontId="1" fillId="0" borderId="0" xfId="0" applyFont="1" applyBorder="1"/>
    <xf numFmtId="0" fontId="1" fillId="0" borderId="0" xfId="0" applyFont="1" applyAlignment="1">
      <alignment horizontal="center"/>
    </xf>
    <xf numFmtId="0" fontId="37" fillId="2" borderId="20" xfId="0" applyFont="1" applyFill="1" applyBorder="1" applyAlignment="1">
      <alignment horizontal="center"/>
    </xf>
    <xf numFmtId="0" fontId="37" fillId="0" borderId="20" xfId="0" applyFont="1" applyBorder="1" applyAlignment="1">
      <alignment horizontal="center"/>
    </xf>
    <xf numFmtId="0" fontId="25" fillId="0" borderId="0" xfId="0" applyFont="1"/>
    <xf numFmtId="0" fontId="4" fillId="0" borderId="20" xfId="0" applyFont="1" applyFill="1" applyBorder="1" applyAlignment="1">
      <alignment horizontal="center" wrapText="1"/>
    </xf>
    <xf numFmtId="0" fontId="37" fillId="3" borderId="20" xfId="0" applyFont="1" applyFill="1" applyBorder="1" applyAlignment="1">
      <alignment horizontal="center"/>
    </xf>
    <xf numFmtId="0" fontId="37" fillId="4" borderId="20" xfId="0" applyFont="1" applyFill="1" applyBorder="1" applyAlignment="1">
      <alignment horizontal="center"/>
    </xf>
    <xf numFmtId="0" fontId="0" fillId="0" borderId="0" xfId="0" applyAlignment="1"/>
    <xf numFmtId="0" fontId="38" fillId="0" borderId="0" xfId="0" applyFont="1" applyAlignment="1">
      <alignment horizontal="left" vertical="center" readingOrder="1"/>
    </xf>
    <xf numFmtId="0" fontId="8" fillId="0" borderId="0" xfId="0" applyFont="1" applyBorder="1" applyAlignment="1">
      <alignment horizontal="left" vertical="top" wrapText="1"/>
    </xf>
    <xf numFmtId="0" fontId="30" fillId="0" borderId="0" xfId="0" applyFont="1" applyAlignment="1">
      <alignment horizontal="left" vertical="top" wrapText="1"/>
    </xf>
    <xf numFmtId="0" fontId="26" fillId="0" borderId="0" xfId="0" applyFont="1" applyFill="1" applyAlignment="1">
      <alignment horizontal="left"/>
    </xf>
    <xf numFmtId="0" fontId="3" fillId="0" borderId="55" xfId="0" applyFont="1" applyBorder="1" applyAlignment="1">
      <alignment horizontal="center" vertical="top" wrapText="1"/>
    </xf>
    <xf numFmtId="0" fontId="25" fillId="0" borderId="28" xfId="0" applyFont="1" applyBorder="1" applyAlignment="1">
      <alignment vertical="top" wrapText="1"/>
    </xf>
    <xf numFmtId="0" fontId="30" fillId="0" borderId="0" xfId="0" applyFont="1" applyAlignment="1">
      <alignment horizontal="left" vertical="top" wrapText="1"/>
    </xf>
    <xf numFmtId="0" fontId="3" fillId="0" borderId="55" xfId="0" applyFont="1" applyFill="1" applyBorder="1" applyAlignment="1">
      <alignment horizontal="center" vertical="top" wrapText="1"/>
    </xf>
    <xf numFmtId="0" fontId="1" fillId="0" borderId="0" xfId="0" applyFont="1" applyBorder="1" applyAlignment="1">
      <alignment horizontal="right" vertical="center" wrapText="1"/>
    </xf>
    <xf numFmtId="164" fontId="1" fillId="0" borderId="0" xfId="0" applyNumberFormat="1" applyFont="1" applyBorder="1" applyAlignment="1">
      <alignment horizontal="center"/>
    </xf>
    <xf numFmtId="0" fontId="2" fillId="0" borderId="1" xfId="0" applyFont="1" applyFill="1" applyBorder="1" applyAlignment="1">
      <alignment horizontal="center" vertical="top" wrapText="1"/>
    </xf>
    <xf numFmtId="0" fontId="25" fillId="0" borderId="0" xfId="0" applyFont="1" applyAlignment="1">
      <alignment vertical="top"/>
    </xf>
    <xf numFmtId="0" fontId="25" fillId="0" borderId="0" xfId="0" applyFont="1" applyAlignment="1">
      <alignment horizontal="left" vertical="top"/>
    </xf>
    <xf numFmtId="0" fontId="10" fillId="0" borderId="0" xfId="0" applyFont="1" applyAlignment="1">
      <alignment horizontal="left" vertical="top"/>
    </xf>
    <xf numFmtId="0" fontId="9" fillId="0" borderId="0" xfId="0" applyFont="1" applyAlignment="1">
      <alignment horizontal="left" vertical="top"/>
    </xf>
    <xf numFmtId="0" fontId="33" fillId="0" borderId="1" xfId="0" applyFont="1" applyBorder="1" applyAlignment="1">
      <alignment horizontal="center" vertical="top" wrapText="1"/>
    </xf>
    <xf numFmtId="0" fontId="9" fillId="0" borderId="3" xfId="0" applyFont="1" applyBorder="1"/>
    <xf numFmtId="0" fontId="33" fillId="0" borderId="0" xfId="0" applyFont="1" applyBorder="1" applyAlignment="1"/>
    <xf numFmtId="0" fontId="33" fillId="0" borderId="0" xfId="0" applyFont="1" applyFill="1" applyBorder="1" applyAlignment="1">
      <alignment vertical="top"/>
    </xf>
    <xf numFmtId="1" fontId="33" fillId="0" borderId="0" xfId="0" applyNumberFormat="1" applyFont="1" applyBorder="1" applyAlignment="1">
      <alignment horizontal="right"/>
    </xf>
    <xf numFmtId="0" fontId="41" fillId="0" borderId="0" xfId="0" applyFont="1" applyBorder="1" applyAlignment="1">
      <alignment horizontal="center" vertical="center" wrapText="1"/>
    </xf>
    <xf numFmtId="1" fontId="41" fillId="0" borderId="0" xfId="0" applyNumberFormat="1" applyFont="1" applyBorder="1" applyAlignment="1">
      <alignment horizontal="right" vertical="top" wrapText="1"/>
    </xf>
    <xf numFmtId="0" fontId="24" fillId="0" borderId="0" xfId="0" applyFont="1" applyBorder="1" applyAlignment="1">
      <alignment horizontal="center" vertical="top" wrapText="1"/>
    </xf>
    <xf numFmtId="0" fontId="42" fillId="0" borderId="0" xfId="0" applyFont="1" applyBorder="1"/>
    <xf numFmtId="0" fontId="24" fillId="0" borderId="1" xfId="0" applyFont="1" applyBorder="1" applyAlignment="1">
      <alignment horizontal="center" vertical="top" wrapText="1"/>
    </xf>
    <xf numFmtId="0" fontId="24" fillId="0" borderId="0" xfId="0" applyFont="1" applyFill="1" applyBorder="1" applyAlignment="1">
      <alignment vertical="top" wrapText="1"/>
    </xf>
    <xf numFmtId="0" fontId="24" fillId="0" borderId="0" xfId="0" applyFont="1" applyFill="1" applyBorder="1"/>
    <xf numFmtId="0" fontId="24" fillId="0" borderId="0" xfId="0" applyFont="1" applyFill="1" applyBorder="1" applyAlignment="1">
      <alignment horizontal="left" vertical="top" wrapText="1"/>
    </xf>
    <xf numFmtId="0" fontId="24" fillId="0" borderId="0" xfId="0" applyFont="1" applyFill="1" applyBorder="1" applyAlignment="1">
      <alignment horizontal="right" vertical="top" wrapText="1"/>
    </xf>
    <xf numFmtId="0" fontId="0" fillId="0" borderId="0" xfId="0" applyAlignment="1">
      <alignment vertical="top"/>
    </xf>
    <xf numFmtId="0" fontId="1" fillId="0" borderId="0" xfId="0" applyFont="1" applyAlignment="1">
      <alignment horizontal="left" vertical="top" wrapText="1"/>
    </xf>
    <xf numFmtId="0" fontId="1" fillId="0" borderId="6" xfId="0" applyFont="1" applyBorder="1" applyAlignment="1">
      <alignment horizontal="center" vertical="top"/>
    </xf>
    <xf numFmtId="0" fontId="26" fillId="0" borderId="7" xfId="0" applyFont="1" applyBorder="1"/>
    <xf numFmtId="0" fontId="2" fillId="0" borderId="18" xfId="0" applyFont="1" applyBorder="1" applyAlignment="1">
      <alignment horizontal="center"/>
    </xf>
    <xf numFmtId="0" fontId="5" fillId="0" borderId="0" xfId="0" applyFont="1" applyFill="1" applyBorder="1" applyAlignment="1">
      <alignment horizontal="left" vertical="top" wrapText="1" indent="3"/>
    </xf>
    <xf numFmtId="0" fontId="2" fillId="0" borderId="10" xfId="0" applyFont="1" applyFill="1" applyBorder="1" applyAlignment="1">
      <alignment horizontal="center" vertical="top"/>
    </xf>
    <xf numFmtId="0" fontId="1" fillId="0" borderId="0" xfId="0" applyFont="1" applyAlignment="1">
      <alignment horizontal="center" vertical="top"/>
    </xf>
    <xf numFmtId="0" fontId="23" fillId="0" borderId="0" xfId="0" applyFont="1" applyAlignment="1">
      <alignment wrapText="1"/>
    </xf>
    <xf numFmtId="0" fontId="23" fillId="0" borderId="0" xfId="0" applyFont="1" applyAlignment="1">
      <alignment horizontal="center"/>
    </xf>
    <xf numFmtId="0" fontId="25" fillId="0" borderId="0" xfId="0" applyFont="1" applyAlignment="1">
      <alignment horizontal="center" vertical="center"/>
    </xf>
    <xf numFmtId="1" fontId="24" fillId="0" borderId="28" xfId="0" applyNumberFormat="1" applyFont="1" applyBorder="1" applyAlignment="1">
      <alignment horizontal="right" vertical="top" wrapText="1"/>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xf numFmtId="0" fontId="1" fillId="0" borderId="0" xfId="0" applyFont="1" applyAlignment="1">
      <alignment horizontal="center" vertical="center"/>
    </xf>
    <xf numFmtId="0" fontId="29" fillId="0" borderId="0" xfId="0" applyFont="1"/>
    <xf numFmtId="0" fontId="1" fillId="0" borderId="0" xfId="0" applyFont="1" applyAlignment="1">
      <alignment vertical="top"/>
    </xf>
    <xf numFmtId="0" fontId="1" fillId="0" borderId="0" xfId="0" applyFont="1" applyBorder="1" applyAlignment="1">
      <alignment vertical="top"/>
    </xf>
    <xf numFmtId="0" fontId="1" fillId="0" borderId="7" xfId="0" applyFont="1" applyBorder="1" applyAlignment="1"/>
    <xf numFmtId="0" fontId="1" fillId="0" borderId="12" xfId="0" applyFont="1" applyBorder="1" applyAlignment="1">
      <alignment horizontal="center" vertical="top"/>
    </xf>
    <xf numFmtId="0" fontId="25" fillId="0" borderId="0" xfId="0" applyFont="1" applyFill="1" applyBorder="1" applyAlignment="1">
      <alignment horizontal="left"/>
    </xf>
    <xf numFmtId="0" fontId="2" fillId="0" borderId="1" xfId="0" applyFont="1" applyBorder="1" applyAlignment="1">
      <alignment horizontal="left" vertical="top"/>
    </xf>
    <xf numFmtId="0" fontId="2" fillId="0" borderId="58" xfId="0" applyFont="1" applyBorder="1" applyAlignment="1">
      <alignment horizontal="center" vertical="top"/>
    </xf>
    <xf numFmtId="0" fontId="28" fillId="0" borderId="0" xfId="0" applyFont="1" applyAlignment="1">
      <alignment vertical="top"/>
    </xf>
    <xf numFmtId="0" fontId="29" fillId="0" borderId="0" xfId="0" applyFont="1" applyAlignment="1">
      <alignment horizontal="center" vertical="center"/>
    </xf>
    <xf numFmtId="0" fontId="25" fillId="0" borderId="0" xfId="0" applyFont="1" applyAlignment="1">
      <alignment horizontal="left" vertical="top" wrapText="1" indent="3"/>
    </xf>
    <xf numFmtId="0" fontId="29" fillId="0" borderId="12" xfId="0" applyFont="1" applyBorder="1"/>
    <xf numFmtId="0" fontId="25" fillId="0" borderId="29" xfId="0" applyFont="1" applyBorder="1" applyAlignment="1">
      <alignment vertical="top" wrapText="1"/>
    </xf>
    <xf numFmtId="0" fontId="23" fillId="0" borderId="0" xfId="0" applyFont="1" applyAlignment="1">
      <alignment vertical="top" wrapText="1"/>
    </xf>
    <xf numFmtId="0" fontId="25" fillId="0" borderId="28" xfId="0" applyFont="1" applyBorder="1" applyAlignment="1">
      <alignment horizontal="left" vertical="top"/>
    </xf>
    <xf numFmtId="0" fontId="1" fillId="0" borderId="0" xfId="0" applyFont="1" applyBorder="1" applyAlignment="1">
      <alignment horizontal="left" vertical="top"/>
    </xf>
    <xf numFmtId="0" fontId="5" fillId="0" borderId="28" xfId="0" applyFont="1" applyBorder="1" applyAlignment="1">
      <alignment vertical="top" wrapText="1"/>
    </xf>
    <xf numFmtId="0" fontId="25" fillId="0" borderId="0" xfId="0" applyFont="1" applyAlignment="1">
      <alignment vertical="top" wrapText="1"/>
    </xf>
    <xf numFmtId="0" fontId="24" fillId="0" borderId="0" xfId="0" applyFont="1" applyAlignment="1">
      <alignment horizontal="left" vertical="top" wrapText="1" indent="5"/>
    </xf>
    <xf numFmtId="0" fontId="25" fillId="0" borderId="0" xfId="0" applyFont="1" applyAlignment="1">
      <alignment horizontal="left" vertical="top" wrapText="1" indent="5"/>
    </xf>
    <xf numFmtId="0" fontId="5" fillId="0" borderId="28" xfId="0" applyFont="1" applyBorder="1" applyAlignment="1">
      <alignment horizontal="left" vertical="top" wrapText="1"/>
    </xf>
    <xf numFmtId="0" fontId="25" fillId="0" borderId="0" xfId="0" applyFont="1" applyAlignment="1">
      <alignment vertical="center" wrapText="1"/>
    </xf>
    <xf numFmtId="0" fontId="24" fillId="0" borderId="0" xfId="0" applyFont="1" applyAlignment="1">
      <alignment horizontal="left" vertical="top" wrapText="1" indent="5"/>
    </xf>
    <xf numFmtId="0" fontId="34" fillId="0" borderId="7" xfId="0" applyFont="1" applyBorder="1" applyAlignment="1">
      <alignment horizontal="center" vertical="center" wrapText="1"/>
    </xf>
    <xf numFmtId="0" fontId="5" fillId="0" borderId="28" xfId="0" applyFont="1" applyFill="1" applyBorder="1" applyAlignment="1">
      <alignment vertical="top" wrapText="1"/>
    </xf>
    <xf numFmtId="0" fontId="26" fillId="0" borderId="0" xfId="0" applyFont="1" applyAlignment="1">
      <alignment vertical="top" wrapText="1"/>
    </xf>
    <xf numFmtId="0" fontId="18" fillId="0" borderId="0" xfId="0" applyFont="1" applyBorder="1" applyAlignment="1">
      <alignment horizontal="center" vertical="center" textRotation="90"/>
    </xf>
    <xf numFmtId="0" fontId="18" fillId="0" borderId="37"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48" xfId="0" applyFont="1" applyBorder="1" applyAlignment="1">
      <alignment horizontal="center" vertical="center"/>
    </xf>
    <xf numFmtId="1" fontId="18" fillId="0" borderId="51" xfId="0" applyNumberFormat="1" applyFont="1" applyBorder="1" applyAlignment="1">
      <alignment horizontal="center" vertical="center"/>
    </xf>
    <xf numFmtId="0" fontId="18" fillId="0" borderId="52" xfId="0" applyFont="1" applyBorder="1" applyAlignment="1">
      <alignment horizontal="center" vertical="center"/>
    </xf>
    <xf numFmtId="0" fontId="18" fillId="0" borderId="0" xfId="0" applyFont="1" applyAlignment="1">
      <alignment horizontal="center" vertical="center"/>
    </xf>
    <xf numFmtId="0" fontId="7" fillId="0" borderId="6" xfId="0" applyFont="1" applyBorder="1"/>
    <xf numFmtId="0" fontId="8" fillId="0" borderId="7" xfId="0" applyFont="1" applyBorder="1" applyAlignment="1">
      <alignment horizontal="center"/>
    </xf>
    <xf numFmtId="0" fontId="25" fillId="0" borderId="0" xfId="0" applyFont="1" applyAlignment="1">
      <alignment vertical="top" wrapText="1"/>
    </xf>
    <xf numFmtId="0" fontId="25" fillId="0" borderId="0" xfId="0" applyFont="1" applyAlignment="1">
      <alignment horizontal="left" vertical="top" wrapText="1"/>
    </xf>
    <xf numFmtId="0" fontId="24" fillId="0" borderId="0" xfId="0" applyFont="1" applyAlignment="1">
      <alignment horizontal="left" vertical="top" wrapText="1" indent="5"/>
    </xf>
    <xf numFmtId="0" fontId="0" fillId="0" borderId="0" xfId="0" applyBorder="1" applyAlignment="1">
      <alignment horizontal="left" vertical="top" wrapText="1"/>
    </xf>
    <xf numFmtId="0" fontId="5" fillId="0" borderId="26"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8" fillId="0" borderId="0" xfId="0" applyFont="1" applyBorder="1" applyAlignment="1">
      <alignment horizontal="left"/>
    </xf>
    <xf numFmtId="0" fontId="5" fillId="0" borderId="0" xfId="0" applyFont="1" applyFill="1" applyBorder="1" applyAlignment="1">
      <alignment horizontal="left" vertical="top" wrapText="1"/>
    </xf>
    <xf numFmtId="0" fontId="33" fillId="0" borderId="0" xfId="0" applyFont="1" applyBorder="1" applyAlignment="1">
      <alignment horizontal="center" vertical="top" wrapText="1"/>
    </xf>
    <xf numFmtId="0" fontId="7" fillId="0" borderId="0" xfId="0" applyFont="1" applyAlignment="1">
      <alignment horizontal="center"/>
    </xf>
    <xf numFmtId="0" fontId="8" fillId="0" borderId="0" xfId="0" applyFont="1" applyBorder="1" applyAlignment="1">
      <alignment horizontal="center"/>
    </xf>
    <xf numFmtId="0" fontId="7" fillId="0" borderId="0" xfId="0" applyFont="1" applyFill="1" applyAlignment="1">
      <alignment horizontal="center"/>
    </xf>
    <xf numFmtId="0" fontId="36" fillId="0" borderId="0" xfId="0" applyFont="1" applyBorder="1" applyAlignment="1">
      <alignment horizontal="center" vertical="top" wrapText="1"/>
    </xf>
    <xf numFmtId="0" fontId="36" fillId="0"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horizontal="center" wrapText="1"/>
    </xf>
    <xf numFmtId="0" fontId="5" fillId="0" borderId="0" xfId="0" applyFont="1" applyAlignment="1">
      <alignment horizontal="left" vertical="top" wrapText="1"/>
    </xf>
    <xf numFmtId="0" fontId="0" fillId="0" borderId="0" xfId="0" applyAlignment="1">
      <alignment horizontal="center" vertical="center" wrapText="1"/>
    </xf>
    <xf numFmtId="0" fontId="5" fillId="0" borderId="52" xfId="0" applyFont="1" applyFill="1" applyBorder="1" applyAlignment="1">
      <alignment horizontal="left" vertical="top" wrapText="1"/>
    </xf>
    <xf numFmtId="0" fontId="5" fillId="0" borderId="37" xfId="0" applyFont="1" applyFill="1" applyBorder="1" applyAlignment="1">
      <alignment horizontal="left" vertical="top" wrapText="1"/>
    </xf>
    <xf numFmtId="1" fontId="5" fillId="0" borderId="38" xfId="0" applyNumberFormat="1" applyFont="1" applyFill="1" applyBorder="1" applyAlignment="1">
      <alignment horizontal="center" vertical="center" wrapText="1"/>
    </xf>
    <xf numFmtId="1" fontId="24" fillId="0" borderId="28" xfId="0" applyNumberFormat="1" applyFont="1" applyBorder="1" applyAlignment="1">
      <alignment horizontal="center" vertical="center" wrapText="1"/>
    </xf>
    <xf numFmtId="0" fontId="25" fillId="0" borderId="15" xfId="0" applyFont="1" applyBorder="1" applyAlignment="1">
      <alignment horizontal="right"/>
    </xf>
    <xf numFmtId="0" fontId="33" fillId="0" borderId="61" xfId="0" applyFont="1" applyBorder="1" applyAlignment="1">
      <alignment horizontal="center" vertical="top" wrapText="1"/>
    </xf>
    <xf numFmtId="164" fontId="25" fillId="0" borderId="5" xfId="0" applyNumberFormat="1" applyFont="1" applyBorder="1" applyAlignment="1">
      <alignment horizontal="center" vertical="center"/>
    </xf>
    <xf numFmtId="3" fontId="24" fillId="0" borderId="28" xfId="0" applyNumberFormat="1" applyFont="1" applyBorder="1" applyAlignment="1">
      <alignment horizontal="center" vertical="center" wrapText="1"/>
    </xf>
    <xf numFmtId="0" fontId="29" fillId="0" borderId="0" xfId="0" applyFont="1" applyAlignment="1">
      <alignment wrapText="1"/>
    </xf>
    <xf numFmtId="164" fontId="7" fillId="0" borderId="5" xfId="1" applyNumberFormat="1" applyFont="1" applyBorder="1" applyAlignment="1">
      <alignment horizontal="center" vertical="center"/>
    </xf>
    <xf numFmtId="0" fontId="26" fillId="0" borderId="52" xfId="0" applyFont="1" applyFill="1" applyBorder="1" applyAlignment="1">
      <alignment vertical="top" wrapText="1"/>
    </xf>
    <xf numFmtId="0" fontId="33" fillId="0" borderId="11" xfId="0" applyFont="1" applyBorder="1" applyAlignment="1">
      <alignment horizontal="center" wrapText="1"/>
    </xf>
    <xf numFmtId="0" fontId="33" fillId="0" borderId="18" xfId="0" applyFont="1" applyBorder="1" applyAlignment="1">
      <alignment horizontal="center" wrapText="1"/>
    </xf>
    <xf numFmtId="0" fontId="24" fillId="0" borderId="1" xfId="0" applyFont="1" applyFill="1" applyBorder="1" applyAlignment="1">
      <alignment horizontal="center" wrapText="1"/>
    </xf>
    <xf numFmtId="0" fontId="24" fillId="0" borderId="13" xfId="0" applyFont="1" applyFill="1" applyBorder="1" applyAlignment="1">
      <alignment horizontal="center" vertical="center" wrapText="1"/>
    </xf>
    <xf numFmtId="0" fontId="42" fillId="0" borderId="0" xfId="0" applyFont="1" applyBorder="1" applyAlignment="1">
      <alignment horizontal="right" vertical="center"/>
    </xf>
    <xf numFmtId="0" fontId="0" fillId="0" borderId="0" xfId="0" applyBorder="1" applyAlignment="1">
      <alignment horizontal="center" vertical="center"/>
    </xf>
    <xf numFmtId="0" fontId="42" fillId="0" borderId="26" xfId="0" applyFont="1" applyBorder="1" applyAlignment="1">
      <alignment horizontal="center" vertical="center"/>
    </xf>
    <xf numFmtId="0" fontId="1" fillId="0" borderId="16" xfId="0" applyFont="1" applyFill="1" applyBorder="1" applyAlignment="1">
      <alignment horizontal="center"/>
    </xf>
    <xf numFmtId="0" fontId="1" fillId="0" borderId="16" xfId="0" applyFont="1" applyFill="1" applyBorder="1" applyAlignment="1">
      <alignment horizontal="right"/>
    </xf>
    <xf numFmtId="0" fontId="1" fillId="0" borderId="14" xfId="0" applyFont="1" applyFill="1" applyBorder="1" applyAlignment="1">
      <alignment horizontal="center"/>
    </xf>
    <xf numFmtId="0" fontId="0" fillId="0" borderId="1" xfId="0" applyBorder="1"/>
    <xf numFmtId="0" fontId="5" fillId="0" borderId="0" xfId="0" applyFont="1" applyBorder="1" applyAlignment="1">
      <alignment horizontal="right" vertical="center" wrapText="1"/>
    </xf>
    <xf numFmtId="0" fontId="33" fillId="0" borderId="12" xfId="0" applyFont="1" applyBorder="1" applyAlignment="1">
      <alignment horizontal="center" vertical="top" wrapText="1"/>
    </xf>
    <xf numFmtId="0" fontId="25" fillId="0" borderId="37" xfId="0" applyFont="1" applyFill="1" applyBorder="1" applyAlignment="1">
      <alignment horizontal="left"/>
    </xf>
    <xf numFmtId="1" fontId="24" fillId="0" borderId="38" xfId="0" applyNumberFormat="1" applyFont="1" applyBorder="1" applyAlignment="1">
      <alignment horizontal="right" vertical="top" wrapText="1"/>
    </xf>
    <xf numFmtId="0" fontId="25" fillId="0" borderId="0" xfId="0" applyFont="1" applyAlignment="1">
      <alignment horizontal="center" vertical="top" wrapText="1"/>
    </xf>
    <xf numFmtId="0" fontId="1" fillId="0" borderId="15" xfId="0" applyFont="1" applyFill="1" applyBorder="1" applyAlignment="1">
      <alignment horizontal="right"/>
    </xf>
    <xf numFmtId="0" fontId="26" fillId="0" borderId="0" xfId="0" applyFont="1" applyFill="1" applyBorder="1" applyAlignment="1">
      <alignment horizontal="left" vertical="top" wrapText="1"/>
    </xf>
    <xf numFmtId="0" fontId="24" fillId="0" borderId="0" xfId="0" applyFont="1" applyFill="1" applyBorder="1" applyAlignment="1">
      <alignment horizontal="left"/>
    </xf>
    <xf numFmtId="164" fontId="25" fillId="0" borderId="26" xfId="0" applyNumberFormat="1" applyFont="1" applyBorder="1" applyAlignment="1">
      <alignment horizontal="center" vertical="center"/>
    </xf>
    <xf numFmtId="0" fontId="33" fillId="0" borderId="11" xfId="0" applyFont="1" applyBorder="1" applyAlignment="1">
      <alignment horizontal="left" wrapText="1"/>
    </xf>
    <xf numFmtId="1" fontId="24" fillId="0" borderId="0" xfId="0" applyNumberFormat="1" applyFont="1" applyBorder="1" applyAlignment="1">
      <alignment horizontal="left" vertical="top" wrapText="1"/>
    </xf>
    <xf numFmtId="0" fontId="26" fillId="0" borderId="52" xfId="0" applyFont="1" applyFill="1" applyBorder="1" applyAlignment="1">
      <alignment horizontal="left" vertical="top" wrapText="1"/>
    </xf>
    <xf numFmtId="0" fontId="33" fillId="0" borderId="61" xfId="0" applyFont="1" applyBorder="1" applyAlignment="1">
      <alignment horizontal="center" wrapText="1"/>
    </xf>
    <xf numFmtId="0" fontId="1" fillId="0" borderId="14" xfId="0" applyFont="1" applyFill="1" applyBorder="1" applyAlignment="1">
      <alignment horizontal="right"/>
    </xf>
    <xf numFmtId="0" fontId="28" fillId="0" borderId="0" xfId="0" applyFont="1" applyFill="1" applyAlignment="1">
      <alignment vertical="top" wrapText="1"/>
    </xf>
    <xf numFmtId="0" fontId="25" fillId="0" borderId="33" xfId="0" applyFont="1" applyFill="1" applyBorder="1" applyAlignment="1">
      <alignment vertical="top" wrapText="1"/>
    </xf>
    <xf numFmtId="0" fontId="1" fillId="0" borderId="0" xfId="0" applyFont="1" applyBorder="1" applyAlignment="1">
      <alignment horizontal="left" vertical="top" indent="3"/>
    </xf>
    <xf numFmtId="0" fontId="1" fillId="5" borderId="16" xfId="0" applyFont="1" applyFill="1" applyBorder="1" applyAlignment="1">
      <alignment horizontal="center"/>
    </xf>
    <xf numFmtId="0" fontId="26" fillId="0" borderId="0" xfId="0" applyFont="1" applyAlignment="1">
      <alignment wrapText="1"/>
    </xf>
    <xf numFmtId="0" fontId="25" fillId="0" borderId="0" xfId="0" applyFont="1" applyAlignment="1">
      <alignment horizontal="center" vertical="center" wrapText="1"/>
    </xf>
    <xf numFmtId="0" fontId="1" fillId="0" borderId="6" xfId="0" applyFont="1" applyBorder="1" applyAlignment="1">
      <alignment horizontal="center" vertical="center"/>
    </xf>
    <xf numFmtId="0" fontId="11" fillId="0" borderId="6" xfId="0" applyFont="1" applyBorder="1" applyAlignment="1"/>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xf numFmtId="0" fontId="1" fillId="0" borderId="0" xfId="0" applyFont="1" applyAlignment="1">
      <alignment horizontal="right" vertical="center" wrapText="1"/>
    </xf>
    <xf numFmtId="0" fontId="1" fillId="0" borderId="0" xfId="0" applyFont="1" applyAlignment="1"/>
    <xf numFmtId="0" fontId="1" fillId="0" borderId="0" xfId="0" applyFont="1" applyFill="1"/>
    <xf numFmtId="164" fontId="1" fillId="0" borderId="5" xfId="0" applyNumberFormat="1" applyFont="1" applyBorder="1" applyAlignment="1">
      <alignment horizontal="center" vertical="center"/>
    </xf>
    <xf numFmtId="0" fontId="4" fillId="0" borderId="0" xfId="0" applyFont="1" applyBorder="1" applyAlignment="1">
      <alignment horizontal="center"/>
    </xf>
    <xf numFmtId="0" fontId="4" fillId="0" borderId="0" xfId="0" applyFont="1" applyFill="1" applyBorder="1" applyAlignment="1">
      <alignment horizontal="right" vertical="top" wrapText="1"/>
    </xf>
    <xf numFmtId="0" fontId="4" fillId="0" borderId="0" xfId="0" applyFont="1" applyFill="1" applyBorder="1" applyAlignment="1">
      <alignment vertical="top" wrapText="1"/>
    </xf>
    <xf numFmtId="0" fontId="4" fillId="0" borderId="0" xfId="0" applyFont="1" applyAlignment="1">
      <alignment vertical="center"/>
    </xf>
    <xf numFmtId="0" fontId="4" fillId="0" borderId="0" xfId="0" applyFont="1" applyFill="1" applyBorder="1" applyAlignment="1">
      <alignment vertical="top"/>
    </xf>
    <xf numFmtId="0" fontId="25" fillId="0" borderId="6" xfId="0" applyFont="1" applyBorder="1" applyAlignment="1">
      <alignment horizontal="center" vertical="center" wrapText="1"/>
    </xf>
    <xf numFmtId="0" fontId="5" fillId="0" borderId="0" xfId="0" applyFont="1" applyBorder="1" applyAlignment="1">
      <alignment horizontal="center"/>
    </xf>
    <xf numFmtId="0" fontId="5" fillId="0" borderId="0" xfId="0" applyFont="1"/>
    <xf numFmtId="0" fontId="5" fillId="0" borderId="0" xfId="0" applyFont="1" applyFill="1" applyBorder="1" applyAlignment="1">
      <alignment horizontal="left" vertical="top" indent="3"/>
    </xf>
    <xf numFmtId="0" fontId="5" fillId="0" borderId="0" xfId="0" applyFont="1" applyAlignment="1">
      <alignment vertical="center"/>
    </xf>
    <xf numFmtId="0" fontId="5" fillId="0" borderId="0" xfId="0" applyFont="1" applyFill="1" applyBorder="1" applyAlignment="1" applyProtection="1">
      <alignment horizontal="left" vertical="top" indent="3"/>
    </xf>
    <xf numFmtId="0" fontId="5" fillId="5" borderId="0" xfId="0" applyFont="1" applyFill="1" applyBorder="1" applyAlignment="1">
      <alignment horizontal="center"/>
    </xf>
    <xf numFmtId="0" fontId="3" fillId="0" borderId="0" xfId="0" applyFont="1" applyBorder="1" applyAlignment="1">
      <alignment horizontal="left" vertical="top"/>
    </xf>
    <xf numFmtId="0" fontId="5" fillId="0" borderId="0" xfId="0" applyFont="1" applyFill="1" applyBorder="1" applyAlignment="1" applyProtection="1">
      <alignment horizontal="left" vertical="top" wrapText="1" indent="3"/>
    </xf>
    <xf numFmtId="0" fontId="5" fillId="5" borderId="0" xfId="0" applyFont="1" applyFill="1" applyBorder="1" applyAlignment="1">
      <alignment horizontal="center" vertical="center"/>
    </xf>
    <xf numFmtId="0" fontId="5" fillId="0" borderId="1" xfId="0" applyFont="1" applyBorder="1"/>
    <xf numFmtId="0" fontId="5" fillId="0" borderId="3" xfId="0" applyFont="1" applyBorder="1" applyAlignment="1">
      <alignment horizontal="center"/>
    </xf>
    <xf numFmtId="0" fontId="5" fillId="0" borderId="1" xfId="0" applyFont="1" applyBorder="1" applyAlignment="1">
      <alignment vertical="center"/>
    </xf>
    <xf numFmtId="0" fontId="3" fillId="0" borderId="0" xfId="0" applyFont="1" applyBorder="1" applyAlignment="1">
      <alignment vertical="top"/>
    </xf>
    <xf numFmtId="0" fontId="3" fillId="0" borderId="1" xfId="0" applyFont="1" applyBorder="1" applyAlignment="1">
      <alignment horizontal="center" vertical="center"/>
    </xf>
    <xf numFmtId="0" fontId="5" fillId="0" borderId="0" xfId="0" applyFont="1" applyAlignment="1">
      <alignment horizontal="center" vertical="center"/>
    </xf>
    <xf numFmtId="1" fontId="26" fillId="0" borderId="0" xfId="0" applyNumberFormat="1" applyFont="1" applyFill="1" applyBorder="1" applyAlignment="1">
      <alignment horizontal="right" vertical="top" wrapText="1"/>
    </xf>
    <xf numFmtId="9" fontId="5" fillId="0" borderId="0" xfId="0" applyNumberFormat="1" applyFont="1" applyFill="1" applyBorder="1" applyAlignment="1">
      <alignment horizontal="right" vertical="top" wrapText="1"/>
    </xf>
    <xf numFmtId="1" fontId="5" fillId="0" borderId="0" xfId="0" applyNumberFormat="1" applyFont="1" applyFill="1" applyBorder="1" applyAlignment="1">
      <alignment horizontal="right" vertical="top" wrapText="1"/>
    </xf>
    <xf numFmtId="0" fontId="5" fillId="5" borderId="17" xfId="0" applyFont="1" applyFill="1" applyBorder="1" applyAlignment="1">
      <alignment horizontal="center"/>
    </xf>
    <xf numFmtId="0" fontId="5" fillId="5" borderId="2" xfId="0" applyFont="1" applyFill="1" applyBorder="1" applyAlignment="1">
      <alignment horizontal="center"/>
    </xf>
    <xf numFmtId="0" fontId="5" fillId="0" borderId="2" xfId="0" applyFont="1" applyBorder="1" applyAlignment="1">
      <alignment horizontal="center"/>
    </xf>
    <xf numFmtId="0" fontId="47" fillId="5" borderId="16" xfId="0" applyFont="1" applyFill="1" applyBorder="1" applyAlignment="1">
      <alignment horizontal="center" vertical="center"/>
    </xf>
    <xf numFmtId="0" fontId="25" fillId="0" borderId="0" xfId="0" applyFont="1" applyFill="1" applyBorder="1" applyAlignment="1">
      <alignment horizontal="left" vertical="top"/>
    </xf>
    <xf numFmtId="0" fontId="1" fillId="5" borderId="16" xfId="0" applyFont="1" applyFill="1" applyBorder="1" applyAlignment="1">
      <alignment horizontal="right"/>
    </xf>
    <xf numFmtId="164" fontId="1" fillId="0" borderId="5" xfId="1" applyNumberFormat="1" applyFont="1" applyBorder="1" applyAlignment="1">
      <alignment horizontal="center" vertical="center"/>
    </xf>
    <xf numFmtId="0" fontId="2" fillId="0" borderId="21" xfId="0" applyFont="1" applyBorder="1" applyAlignment="1">
      <alignment horizontal="center" vertical="center"/>
    </xf>
    <xf numFmtId="0" fontId="5" fillId="0" borderId="0" xfId="0" applyFont="1" applyAlignment="1">
      <alignment horizontal="center" wrapText="1"/>
    </xf>
    <xf numFmtId="0" fontId="48" fillId="0" borderId="0" xfId="0" applyFont="1" applyBorder="1" applyAlignment="1">
      <alignment horizontal="center" vertical="center"/>
    </xf>
    <xf numFmtId="0" fontId="48" fillId="0" borderId="0" xfId="0" applyFont="1" applyBorder="1" applyAlignment="1">
      <alignment horizontal="right"/>
    </xf>
    <xf numFmtId="0" fontId="4" fillId="0" borderId="0" xfId="0" applyFont="1" applyFill="1" applyBorder="1" applyAlignment="1" applyProtection="1">
      <alignment horizontal="left"/>
    </xf>
    <xf numFmtId="0" fontId="4" fillId="0" borderId="0"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0" fontId="4" fillId="0" borderId="0" xfId="0" applyFont="1" applyAlignment="1">
      <alignment horizontal="center"/>
    </xf>
    <xf numFmtId="0" fontId="1" fillId="0" borderId="60" xfId="0" applyFont="1" applyFill="1" applyBorder="1" applyAlignment="1">
      <alignment horizontal="right"/>
    </xf>
    <xf numFmtId="0" fontId="1" fillId="0" borderId="0" xfId="0" applyFont="1" applyFill="1" applyAlignment="1">
      <alignment horizontal="right"/>
    </xf>
    <xf numFmtId="164" fontId="7" fillId="0" borderId="0" xfId="0" applyNumberFormat="1" applyFont="1" applyFill="1" applyAlignment="1">
      <alignment horizontal="center"/>
    </xf>
    <xf numFmtId="0" fontId="5" fillId="5" borderId="2" xfId="0" applyFont="1" applyFill="1" applyBorder="1" applyAlignment="1">
      <alignment horizontal="center" vertical="center"/>
    </xf>
    <xf numFmtId="0" fontId="5" fillId="0" borderId="27" xfId="0" applyFont="1" applyBorder="1" applyAlignment="1">
      <alignment horizontal="center"/>
    </xf>
    <xf numFmtId="0" fontId="37" fillId="0" borderId="0" xfId="0" applyFont="1" applyBorder="1"/>
    <xf numFmtId="0" fontId="4" fillId="0" borderId="20" xfId="0" applyFont="1" applyBorder="1" applyAlignment="1">
      <alignment horizontal="center"/>
    </xf>
    <xf numFmtId="0" fontId="4" fillId="0" borderId="20" xfId="0" applyFont="1" applyFill="1" applyBorder="1" applyAlignment="1">
      <alignment horizontal="center"/>
    </xf>
    <xf numFmtId="0" fontId="4" fillId="0" borderId="0" xfId="0" applyFont="1" applyFill="1" applyBorder="1" applyAlignment="1" applyProtection="1">
      <alignment horizontal="center" wrapText="1"/>
    </xf>
    <xf numFmtId="0" fontId="49" fillId="0" borderId="0" xfId="0" applyFont="1"/>
    <xf numFmtId="0" fontId="49" fillId="0" borderId="0" xfId="0" applyFont="1" applyAlignment="1"/>
    <xf numFmtId="0" fontId="45" fillId="0" borderId="63" xfId="0" applyFont="1" applyBorder="1" applyAlignment="1">
      <alignment horizontal="center" vertical="center"/>
    </xf>
    <xf numFmtId="0" fontId="0" fillId="0" borderId="32" xfId="0" applyBorder="1"/>
    <xf numFmtId="0" fontId="0" fillId="0" borderId="64" xfId="0" applyBorder="1"/>
    <xf numFmtId="0" fontId="45" fillId="0" borderId="63" xfId="0" applyFont="1" applyBorder="1"/>
    <xf numFmtId="0" fontId="45" fillId="0" borderId="65" xfId="0" applyFont="1" applyBorder="1" applyAlignment="1">
      <alignment horizontal="center" vertical="center"/>
    </xf>
    <xf numFmtId="0" fontId="4" fillId="0" borderId="66" xfId="0" applyFont="1" applyFill="1" applyBorder="1" applyAlignment="1">
      <alignment horizontal="center" wrapText="1"/>
    </xf>
    <xf numFmtId="0" fontId="4" fillId="0" borderId="24" xfId="0" applyFont="1" applyFill="1" applyBorder="1" applyAlignment="1">
      <alignment horizontal="center" wrapText="1"/>
    </xf>
    <xf numFmtId="0" fontId="0" fillId="0" borderId="67" xfId="0" applyBorder="1"/>
    <xf numFmtId="0" fontId="0" fillId="0" borderId="68" xfId="0" applyBorder="1"/>
    <xf numFmtId="0" fontId="0" fillId="0" borderId="33" xfId="0" applyBorder="1"/>
    <xf numFmtId="0" fontId="37" fillId="0" borderId="0" xfId="0" applyFont="1" applyFill="1" applyBorder="1" applyAlignment="1">
      <alignment horizontal="center"/>
    </xf>
    <xf numFmtId="1" fontId="20" fillId="0" borderId="28" xfId="0" applyNumberFormat="1" applyFont="1" applyFill="1" applyBorder="1" applyAlignment="1">
      <alignment horizontal="center" vertical="top" wrapText="1"/>
    </xf>
    <xf numFmtId="1" fontId="20" fillId="0" borderId="33" xfId="0" applyNumberFormat="1" applyFont="1" applyFill="1" applyBorder="1" applyAlignment="1">
      <alignment horizontal="center" vertical="top" wrapText="1"/>
    </xf>
    <xf numFmtId="1" fontId="41" fillId="0" borderId="28" xfId="0" applyNumberFormat="1" applyFont="1" applyBorder="1" applyAlignment="1">
      <alignment horizontal="center" vertical="top" wrapText="1"/>
    </xf>
    <xf numFmtId="1" fontId="5" fillId="0" borderId="28" xfId="0" applyNumberFormat="1" applyFont="1" applyFill="1" applyBorder="1" applyAlignment="1">
      <alignment horizontal="center" vertical="top" wrapText="1"/>
    </xf>
    <xf numFmtId="1" fontId="5" fillId="0" borderId="33" xfId="0" applyNumberFormat="1" applyFont="1" applyFill="1" applyBorder="1" applyAlignment="1">
      <alignment horizontal="center" vertical="top" wrapText="1"/>
    </xf>
    <xf numFmtId="1" fontId="24" fillId="0" borderId="28" xfId="0" applyNumberFormat="1" applyFont="1" applyBorder="1" applyAlignment="1">
      <alignment horizontal="center" vertical="top" wrapText="1"/>
    </xf>
    <xf numFmtId="1" fontId="24" fillId="0" borderId="38" xfId="0" applyNumberFormat="1" applyFont="1" applyBorder="1" applyAlignment="1">
      <alignment horizontal="center" vertical="top" wrapText="1"/>
    </xf>
    <xf numFmtId="0" fontId="37" fillId="0" borderId="67" xfId="0" applyFont="1" applyBorder="1" applyAlignment="1">
      <alignment horizontal="center"/>
    </xf>
    <xf numFmtId="0" fontId="37" fillId="0" borderId="69" xfId="0" applyFont="1" applyBorder="1" applyAlignment="1">
      <alignment horizontal="center"/>
    </xf>
    <xf numFmtId="0" fontId="0" fillId="0" borderId="69" xfId="0" applyBorder="1"/>
    <xf numFmtId="0" fontId="0" fillId="0" borderId="35" xfId="0" applyBorder="1"/>
    <xf numFmtId="0" fontId="33" fillId="0" borderId="0" xfId="0" applyFont="1" applyBorder="1" applyAlignment="1">
      <alignment horizontal="center" vertical="center"/>
    </xf>
    <xf numFmtId="0" fontId="2" fillId="0" borderId="70" xfId="0" applyFont="1" applyBorder="1" applyAlignment="1">
      <alignment horizontal="center"/>
    </xf>
    <xf numFmtId="0" fontId="24" fillId="0" borderId="0" xfId="0" applyFont="1" applyAlignment="1">
      <alignment horizontal="left" vertical="top" wrapText="1" indent="5"/>
    </xf>
    <xf numFmtId="0" fontId="2" fillId="0" borderId="0" xfId="0" applyFont="1" applyAlignment="1">
      <alignment horizontal="left"/>
    </xf>
    <xf numFmtId="0" fontId="45" fillId="0" borderId="0" xfId="0" applyFont="1"/>
    <xf numFmtId="0" fontId="0" fillId="0" borderId="20" xfId="0" applyBorder="1" applyAlignment="1">
      <alignment textRotation="42"/>
    </xf>
    <xf numFmtId="0" fontId="0" fillId="0" borderId="20" xfId="0" applyBorder="1"/>
    <xf numFmtId="0" fontId="0" fillId="0" borderId="0" xfId="0" applyBorder="1" applyAlignment="1">
      <alignment textRotation="42"/>
    </xf>
    <xf numFmtId="1" fontId="5" fillId="0" borderId="0" xfId="0" applyNumberFormat="1" applyFont="1" applyAlignment="1">
      <alignment horizontal="center" vertical="center"/>
    </xf>
    <xf numFmtId="1" fontId="25" fillId="0" borderId="0" xfId="0" applyNumberFormat="1" applyFont="1" applyAlignment="1">
      <alignment horizontal="center" vertical="center"/>
    </xf>
    <xf numFmtId="1" fontId="25" fillId="0" borderId="1" xfId="0" applyNumberFormat="1" applyFont="1" applyBorder="1" applyAlignment="1">
      <alignment horizontal="center" vertical="center"/>
    </xf>
    <xf numFmtId="1" fontId="1" fillId="0" borderId="0" xfId="0" applyNumberFormat="1" applyFont="1" applyAlignment="1">
      <alignment horizontal="center" vertical="center"/>
    </xf>
    <xf numFmtId="10" fontId="7" fillId="0" borderId="0" xfId="1" applyNumberFormat="1" applyFont="1" applyFill="1" applyAlignment="1">
      <alignment horizontal="center"/>
    </xf>
    <xf numFmtId="0" fontId="35" fillId="5" borderId="19" xfId="0" applyFont="1" applyFill="1" applyBorder="1" applyAlignment="1">
      <alignment vertical="top" wrapText="1"/>
    </xf>
    <xf numFmtId="0" fontId="35" fillId="5" borderId="2" xfId="0" applyFont="1" applyFill="1" applyBorder="1" applyAlignment="1">
      <alignment vertical="top" wrapText="1"/>
    </xf>
    <xf numFmtId="0" fontId="36" fillId="5" borderId="2" xfId="0" applyFont="1" applyFill="1" applyBorder="1" applyAlignment="1">
      <alignment vertical="top" wrapText="1"/>
    </xf>
    <xf numFmtId="0" fontId="1" fillId="0" borderId="4" xfId="0" applyFont="1" applyBorder="1"/>
    <xf numFmtId="0" fontId="0" fillId="0" borderId="12" xfId="0" applyBorder="1"/>
    <xf numFmtId="0" fontId="7" fillId="0" borderId="12" xfId="0" applyFont="1" applyBorder="1"/>
    <xf numFmtId="0" fontId="33" fillId="0" borderId="13" xfId="0" applyFont="1" applyBorder="1" applyAlignment="1">
      <alignment horizontal="center" vertical="top" wrapText="1"/>
    </xf>
    <xf numFmtId="0" fontId="5" fillId="0" borderId="12" xfId="0" applyFont="1" applyBorder="1" applyAlignment="1">
      <alignment horizontal="left" vertical="top" wrapText="1"/>
    </xf>
    <xf numFmtId="0" fontId="1" fillId="0" borderId="12" xfId="0" applyFont="1" applyFill="1" applyBorder="1" applyAlignment="1">
      <alignment horizontal="center"/>
    </xf>
    <xf numFmtId="0" fontId="42" fillId="0" borderId="12" xfId="0" applyFont="1" applyBorder="1" applyAlignment="1">
      <alignment horizontal="center" vertical="center"/>
    </xf>
    <xf numFmtId="0" fontId="42" fillId="0" borderId="4" xfId="0" applyFont="1" applyBorder="1" applyAlignment="1">
      <alignment horizontal="center" vertical="center"/>
    </xf>
    <xf numFmtId="0" fontId="1" fillId="0" borderId="17" xfId="0" applyFont="1" applyFill="1" applyBorder="1" applyAlignment="1">
      <alignment horizontal="right"/>
    </xf>
    <xf numFmtId="0" fontId="25" fillId="0" borderId="12" xfId="0" applyFont="1" applyBorder="1"/>
    <xf numFmtId="0" fontId="1" fillId="0" borderId="12" xfId="0" applyFont="1" applyBorder="1" applyAlignment="1">
      <alignment horizontal="left" vertical="top" wrapText="1"/>
    </xf>
    <xf numFmtId="0" fontId="1" fillId="0" borderId="12" xfId="0" applyFont="1" applyBorder="1"/>
    <xf numFmtId="0" fontId="7" fillId="0" borderId="12" xfId="0" applyFont="1" applyBorder="1" applyAlignment="1">
      <alignment horizontal="left" vertical="top" wrapText="1"/>
    </xf>
    <xf numFmtId="0" fontId="1" fillId="0" borderId="19" xfId="0" applyFont="1" applyBorder="1"/>
    <xf numFmtId="165" fontId="25" fillId="0" borderId="0" xfId="0" applyNumberFormat="1" applyFont="1" applyAlignment="1">
      <alignment horizontal="center" vertical="center"/>
    </xf>
    <xf numFmtId="165" fontId="25" fillId="0" borderId="1" xfId="0" applyNumberFormat="1" applyFont="1" applyBorder="1" applyAlignment="1">
      <alignment horizontal="center" vertical="center"/>
    </xf>
    <xf numFmtId="0" fontId="51" fillId="0" borderId="0" xfId="0" applyFont="1"/>
    <xf numFmtId="0" fontId="50" fillId="0" borderId="0" xfId="0" applyFont="1"/>
    <xf numFmtId="0" fontId="50" fillId="0" borderId="0" xfId="0" applyFont="1" applyAlignment="1">
      <alignment horizontal="center"/>
    </xf>
    <xf numFmtId="0" fontId="28" fillId="0" borderId="70" xfId="0" applyFont="1" applyBorder="1" applyAlignment="1">
      <alignment horizontal="center"/>
    </xf>
    <xf numFmtId="0" fontId="2" fillId="0" borderId="0" xfId="0" applyFont="1" applyBorder="1" applyAlignment="1">
      <alignment horizontal="center"/>
    </xf>
    <xf numFmtId="0" fontId="28" fillId="0" borderId="0" xfId="0" applyFont="1" applyAlignment="1">
      <alignment horizontal="center" vertical="center"/>
    </xf>
    <xf numFmtId="0" fontId="3" fillId="0" borderId="0" xfId="0" applyFont="1" applyAlignment="1">
      <alignment horizontal="center" vertical="top" wrapText="1"/>
    </xf>
    <xf numFmtId="0" fontId="25" fillId="0" borderId="0" xfId="0" applyFont="1" applyAlignment="1">
      <alignment vertical="top" wrapText="1"/>
    </xf>
    <xf numFmtId="0" fontId="19" fillId="0" borderId="23"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41" xfId="0" applyFont="1" applyFill="1" applyBorder="1" applyAlignment="1">
      <alignment horizontal="center" vertical="center"/>
    </xf>
    <xf numFmtId="1" fontId="19" fillId="0" borderId="50" xfId="0" applyNumberFormat="1" applyFont="1" applyBorder="1" applyAlignment="1">
      <alignment horizontal="center" vertical="center"/>
    </xf>
    <xf numFmtId="0" fontId="19" fillId="0" borderId="40"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46" xfId="0" applyFont="1" applyFill="1" applyBorder="1" applyAlignment="1">
      <alignment horizontal="center" vertical="center"/>
    </xf>
    <xf numFmtId="0" fontId="19" fillId="2" borderId="40" xfId="0" applyFont="1" applyFill="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1" fontId="19" fillId="0" borderId="42" xfId="0" applyNumberFormat="1" applyFont="1" applyBorder="1" applyAlignment="1">
      <alignment horizontal="center" vertical="center"/>
    </xf>
    <xf numFmtId="0" fontId="5" fillId="0" borderId="0" xfId="0" applyFont="1" applyBorder="1" applyAlignment="1"/>
    <xf numFmtId="0" fontId="5" fillId="0" borderId="0" xfId="0" applyFont="1" applyAlignment="1"/>
    <xf numFmtId="0" fontId="3" fillId="0" borderId="0" xfId="0" applyFont="1" applyBorder="1" applyAlignment="1"/>
    <xf numFmtId="0" fontId="3" fillId="0" borderId="0" xfId="0" applyFont="1" applyAlignment="1"/>
    <xf numFmtId="2" fontId="5" fillId="0" borderId="0" xfId="0" applyNumberFormat="1" applyFont="1" applyBorder="1" applyAlignment="1"/>
    <xf numFmtId="1" fontId="19" fillId="0" borderId="0" xfId="0" applyNumberFormat="1" applyFont="1" applyBorder="1" applyAlignment="1"/>
    <xf numFmtId="0" fontId="3" fillId="0" borderId="0" xfId="0" applyFont="1" applyBorder="1" applyAlignment="1">
      <alignment horizontal="center"/>
    </xf>
    <xf numFmtId="10" fontId="5" fillId="0" borderId="0" xfId="0" applyNumberFormat="1" applyFont="1" applyBorder="1" applyAlignment="1"/>
    <xf numFmtId="0" fontId="5" fillId="6" borderId="0" xfId="0" applyFont="1" applyFill="1" applyAlignment="1"/>
    <xf numFmtId="0" fontId="5" fillId="0" borderId="0" xfId="0" applyFont="1" applyFill="1" applyAlignment="1"/>
    <xf numFmtId="0" fontId="21" fillId="0" borderId="0" xfId="0" applyFont="1" applyBorder="1" applyAlignment="1"/>
    <xf numFmtId="0" fontId="5" fillId="2" borderId="40" xfId="0" applyFont="1" applyFill="1" applyBorder="1" applyAlignment="1">
      <alignment horizontal="center"/>
    </xf>
    <xf numFmtId="0" fontId="5" fillId="2" borderId="35" xfId="0" applyFont="1" applyFill="1" applyBorder="1" applyAlignment="1">
      <alignment horizontal="center"/>
    </xf>
    <xf numFmtId="0" fontId="19" fillId="0" borderId="24" xfId="0" applyFont="1" applyBorder="1" applyAlignment="1">
      <alignment horizontal="center"/>
    </xf>
    <xf numFmtId="1" fontId="19" fillId="0" borderId="42" xfId="0" applyNumberFormat="1" applyFont="1" applyBorder="1" applyAlignment="1">
      <alignment horizontal="center"/>
    </xf>
    <xf numFmtId="1" fontId="5" fillId="2" borderId="40" xfId="0" applyNumberFormat="1" applyFont="1" applyFill="1" applyBorder="1" applyAlignment="1">
      <alignment horizontal="center" vertical="center"/>
    </xf>
    <xf numFmtId="0" fontId="18" fillId="0" borderId="48" xfId="0" applyFont="1" applyBorder="1" applyAlignment="1">
      <alignment horizontal="center"/>
    </xf>
    <xf numFmtId="0" fontId="19" fillId="0" borderId="45" xfId="0" applyFont="1" applyFill="1" applyBorder="1" applyAlignment="1">
      <alignment horizontal="center" vertical="center"/>
    </xf>
    <xf numFmtId="2" fontId="18" fillId="0" borderId="51" xfId="0" applyNumberFormat="1" applyFont="1" applyBorder="1" applyAlignment="1">
      <alignment horizontal="center"/>
    </xf>
    <xf numFmtId="2" fontId="3" fillId="0" borderId="5" xfId="0" applyNumberFormat="1" applyFont="1" applyBorder="1" applyAlignment="1">
      <alignment horizontal="center"/>
    </xf>
    <xf numFmtId="0" fontId="19" fillId="0" borderId="71" xfId="0" applyFont="1" applyBorder="1" applyAlignment="1"/>
    <xf numFmtId="0" fontId="18" fillId="0" borderId="71" xfId="0" applyFont="1" applyBorder="1" applyAlignment="1">
      <alignment horizontal="center" textRotation="90"/>
    </xf>
    <xf numFmtId="0" fontId="3" fillId="7" borderId="5" xfId="0" applyFont="1" applyFill="1" applyBorder="1" applyAlignment="1">
      <alignment horizontal="center"/>
    </xf>
    <xf numFmtId="0" fontId="1" fillId="7" borderId="16" xfId="0" applyFont="1" applyFill="1" applyBorder="1" applyAlignment="1">
      <alignment horizontal="center"/>
    </xf>
    <xf numFmtId="0" fontId="25" fillId="0" borderId="0" xfId="0" applyFont="1" applyAlignment="1">
      <alignment horizontal="left" vertical="top" wrapText="1"/>
    </xf>
    <xf numFmtId="0" fontId="31" fillId="0" borderId="20" xfId="0" applyFont="1" applyBorder="1" applyAlignment="1">
      <alignment horizontal="center" vertical="center" wrapText="1"/>
    </xf>
    <xf numFmtId="0" fontId="25" fillId="0" borderId="20" xfId="0" applyFont="1" applyBorder="1" applyAlignment="1">
      <alignment horizontal="left" vertical="top" wrapText="1"/>
    </xf>
    <xf numFmtId="0" fontId="9" fillId="5" borderId="15" xfId="0" applyFont="1" applyFill="1" applyBorder="1" applyAlignment="1"/>
    <xf numFmtId="0" fontId="44" fillId="8" borderId="57" xfId="0" applyFont="1" applyFill="1" applyBorder="1" applyAlignment="1">
      <alignment horizontal="center" vertical="center" wrapText="1"/>
    </xf>
    <xf numFmtId="0" fontId="7" fillId="5" borderId="2" xfId="0" applyFont="1" applyFill="1" applyBorder="1" applyAlignment="1">
      <alignment horizontal="left" indent="10"/>
    </xf>
    <xf numFmtId="0" fontId="7" fillId="5" borderId="17" xfId="0" applyFont="1" applyFill="1" applyBorder="1"/>
    <xf numFmtId="0" fontId="8" fillId="5" borderId="3" xfId="0" applyFont="1" applyFill="1" applyBorder="1" applyAlignment="1">
      <alignment horizontal="center" vertical="center"/>
    </xf>
    <xf numFmtId="0" fontId="47" fillId="5" borderId="16" xfId="0" applyFont="1" applyFill="1" applyBorder="1" applyAlignment="1">
      <alignment horizontal="center" wrapText="1"/>
    </xf>
    <xf numFmtId="0" fontId="25" fillId="0" borderId="16" xfId="0" applyFont="1" applyBorder="1" applyAlignment="1">
      <alignment horizontal="right"/>
    </xf>
    <xf numFmtId="0" fontId="44" fillId="8" borderId="72" xfId="0" applyFont="1" applyFill="1" applyBorder="1" applyAlignment="1">
      <alignment horizontal="center" vertical="center" wrapText="1"/>
    </xf>
    <xf numFmtId="0" fontId="44" fillId="8" borderId="73" xfId="0" applyFont="1" applyFill="1" applyBorder="1" applyAlignment="1">
      <alignment horizontal="center" vertical="center" wrapText="1"/>
    </xf>
    <xf numFmtId="0" fontId="43" fillId="0" borderId="11" xfId="0" applyFont="1" applyBorder="1" applyAlignment="1">
      <alignment horizontal="center" wrapText="1"/>
    </xf>
    <xf numFmtId="0" fontId="33" fillId="0" borderId="0" xfId="0" applyFont="1" applyBorder="1" applyAlignment="1">
      <alignment horizontal="center" vertical="center" wrapText="1"/>
    </xf>
    <xf numFmtId="0" fontId="2" fillId="0" borderId="70" xfId="0" applyFont="1" applyBorder="1" applyAlignment="1">
      <alignment horizontal="center" wrapText="1"/>
    </xf>
    <xf numFmtId="0" fontId="23"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wrapText="1"/>
    </xf>
    <xf numFmtId="0" fontId="26" fillId="0" borderId="0" xfId="0" applyFont="1" applyFill="1" applyBorder="1" applyAlignment="1">
      <alignment horizontal="center" vertical="center" wrapText="1"/>
    </xf>
    <xf numFmtId="0" fontId="24" fillId="0" borderId="0" xfId="0" applyFont="1" applyFill="1" applyBorder="1" applyAlignment="1">
      <alignment horizontal="left" wrapText="1"/>
    </xf>
    <xf numFmtId="0" fontId="25" fillId="0" borderId="0" xfId="0" applyFont="1" applyFill="1" applyBorder="1" applyAlignment="1">
      <alignment horizontal="left" wrapText="1"/>
    </xf>
    <xf numFmtId="0" fontId="25"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5" fillId="0" borderId="0" xfId="0" applyFont="1" applyAlignment="1">
      <alignment wrapText="1"/>
    </xf>
    <xf numFmtId="0" fontId="32" fillId="0" borderId="0" xfId="0" applyFont="1" applyAlignment="1">
      <alignment horizontal="left" vertical="top" wrapText="1"/>
    </xf>
    <xf numFmtId="0" fontId="25" fillId="0" borderId="0" xfId="0" applyFont="1" applyAlignment="1">
      <alignment wrapText="1"/>
    </xf>
    <xf numFmtId="0" fontId="25" fillId="0" borderId="0" xfId="0" applyFont="1" applyAlignment="1">
      <alignment vertical="top" wrapText="1"/>
    </xf>
    <xf numFmtId="0" fontId="25" fillId="0" borderId="28" xfId="0" applyFont="1" applyBorder="1" applyAlignment="1">
      <alignment horizontal="left" vertical="top" wrapText="1"/>
    </xf>
    <xf numFmtId="0" fontId="25" fillId="0" borderId="0" xfId="0" applyFont="1" applyFill="1" applyAlignment="1">
      <alignment vertical="top" wrapText="1"/>
    </xf>
    <xf numFmtId="0" fontId="28" fillId="0" borderId="0" xfId="0" applyFont="1" applyAlignment="1"/>
    <xf numFmtId="0" fontId="5" fillId="0" borderId="0" xfId="0" applyFont="1" applyAlignment="1">
      <alignment horizontal="center"/>
    </xf>
    <xf numFmtId="0" fontId="54" fillId="0" borderId="0" xfId="0" applyFont="1" applyAlignment="1">
      <alignment horizontal="center"/>
    </xf>
    <xf numFmtId="0" fontId="55" fillId="0" borderId="0" xfId="0" applyFont="1"/>
    <xf numFmtId="0" fontId="5" fillId="0" borderId="0" xfId="0" applyFont="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wrapText="1"/>
    </xf>
    <xf numFmtId="0" fontId="54" fillId="0" borderId="0" xfId="0" applyFont="1" applyAlignment="1">
      <alignment wrapText="1"/>
    </xf>
    <xf numFmtId="0" fontId="56" fillId="0" borderId="0" xfId="0" applyFont="1"/>
    <xf numFmtId="0" fontId="54" fillId="0" borderId="0" xfId="0" applyFont="1"/>
    <xf numFmtId="0" fontId="25" fillId="0" borderId="0" xfId="0" applyFont="1" applyAlignment="1">
      <alignment vertical="top" wrapText="1"/>
    </xf>
    <xf numFmtId="0" fontId="2" fillId="0" borderId="1" xfId="0" applyFont="1" applyBorder="1" applyAlignment="1">
      <alignment horizontal="left" vertical="top"/>
    </xf>
    <xf numFmtId="0" fontId="1" fillId="0" borderId="15" xfId="0" applyFont="1" applyBorder="1" applyAlignment="1"/>
    <xf numFmtId="0" fontId="1" fillId="0" borderId="16" xfId="0" applyFont="1" applyBorder="1" applyAlignment="1"/>
    <xf numFmtId="0" fontId="1" fillId="0" borderId="14" xfId="0" applyFont="1" applyBorder="1" applyAlignment="1"/>
    <xf numFmtId="164" fontId="25" fillId="0" borderId="5" xfId="0" applyNumberFormat="1" applyFont="1" applyBorder="1" applyAlignment="1">
      <alignment horizontal="center"/>
    </xf>
    <xf numFmtId="0" fontId="5" fillId="0" borderId="0" xfId="0" applyFont="1" applyFill="1" applyBorder="1" applyAlignment="1">
      <alignment horizontal="center" vertical="center"/>
    </xf>
    <xf numFmtId="164" fontId="25" fillId="0" borderId="0" xfId="0" applyNumberFormat="1" applyFont="1" applyAlignment="1">
      <alignment horizontal="center"/>
    </xf>
    <xf numFmtId="0" fontId="2" fillId="0" borderId="11" xfId="0" applyFont="1" applyBorder="1" applyAlignment="1">
      <alignment horizontal="center" vertical="center"/>
    </xf>
    <xf numFmtId="0" fontId="1" fillId="0" borderId="0" xfId="0" applyFont="1" applyFill="1" applyBorder="1" applyAlignment="1">
      <alignment horizontal="right" wrapText="1"/>
    </xf>
    <xf numFmtId="0" fontId="2" fillId="0" borderId="74" xfId="0" applyFont="1" applyBorder="1" applyAlignment="1">
      <alignment horizontal="left" vertical="top"/>
    </xf>
    <xf numFmtId="0" fontId="2" fillId="0" borderId="0" xfId="0" applyFont="1" applyAlignment="1">
      <alignment horizontal="left"/>
    </xf>
    <xf numFmtId="0" fontId="0" fillId="0" borderId="0" xfId="0" applyBorder="1" applyAlignment="1">
      <alignment horizontal="left" vertical="top" wrapText="1"/>
    </xf>
    <xf numFmtId="0" fontId="5" fillId="0" borderId="0" xfId="0" applyFont="1" applyBorder="1" applyAlignment="1">
      <alignment horizontal="right" vertical="center" wrapText="1"/>
    </xf>
    <xf numFmtId="0" fontId="25" fillId="0" borderId="28" xfId="0" applyFont="1" applyBorder="1" applyAlignment="1">
      <alignment horizontal="left" vertical="top" wrapText="1"/>
    </xf>
    <xf numFmtId="0" fontId="25" fillId="0" borderId="0" xfId="0" applyFont="1" applyBorder="1" applyAlignment="1">
      <alignment vertical="top"/>
    </xf>
    <xf numFmtId="0" fontId="25" fillId="0" borderId="28" xfId="0" applyFont="1" applyBorder="1" applyAlignment="1">
      <alignment vertical="top"/>
    </xf>
    <xf numFmtId="0" fontId="5" fillId="0" borderId="0" xfId="0" applyFont="1" applyFill="1" applyBorder="1" applyAlignment="1">
      <alignment horizontal="left" vertical="top" wrapText="1"/>
    </xf>
    <xf numFmtId="0" fontId="25" fillId="0" borderId="0" xfId="0" applyFont="1" applyBorder="1" applyAlignment="1">
      <alignment horizontal="left" vertical="top" wrapText="1"/>
    </xf>
    <xf numFmtId="0" fontId="1" fillId="0" borderId="15" xfId="0" applyFont="1" applyFill="1" applyBorder="1" applyAlignment="1">
      <alignment horizontal="center"/>
    </xf>
    <xf numFmtId="0" fontId="25" fillId="0" borderId="5" xfId="0" applyFont="1" applyBorder="1" applyAlignment="1">
      <alignment horizontal="left" vertical="top" wrapText="1"/>
    </xf>
    <xf numFmtId="0" fontId="1" fillId="0" borderId="67" xfId="0" applyFont="1" applyBorder="1" applyAlignment="1">
      <alignment horizontal="left" vertical="top"/>
    </xf>
    <xf numFmtId="164" fontId="25" fillId="0" borderId="32" xfId="0" applyNumberFormat="1" applyFont="1" applyBorder="1" applyAlignment="1">
      <alignment horizontal="center" vertical="center"/>
    </xf>
    <xf numFmtId="0" fontId="5" fillId="0" borderId="0" xfId="0" applyFont="1" applyFill="1" applyBorder="1" applyAlignment="1"/>
    <xf numFmtId="0" fontId="3" fillId="0" borderId="0" xfId="0" applyFont="1" applyFill="1" applyAlignment="1"/>
    <xf numFmtId="1" fontId="19" fillId="0" borderId="76" xfId="0" applyNumberFormat="1" applyFont="1" applyFill="1" applyBorder="1" applyAlignment="1">
      <alignment horizontal="center" vertical="center"/>
    </xf>
    <xf numFmtId="0" fontId="18" fillId="0" borderId="75" xfId="0" applyFont="1" applyBorder="1" applyAlignment="1">
      <alignment horizontal="center" textRotation="45" wrapText="1"/>
    </xf>
    <xf numFmtId="0" fontId="19" fillId="0" borderId="22" xfId="0" applyFont="1" applyFill="1" applyBorder="1" applyAlignment="1">
      <alignment horizontal="center" vertical="center"/>
    </xf>
    <xf numFmtId="0" fontId="19" fillId="0" borderId="77" xfId="0" applyFont="1" applyBorder="1" applyAlignment="1"/>
    <xf numFmtId="1" fontId="19" fillId="2" borderId="35" xfId="0" applyNumberFormat="1" applyFont="1" applyFill="1" applyBorder="1" applyAlignment="1">
      <alignment horizontal="center" vertical="center"/>
    </xf>
    <xf numFmtId="2" fontId="19" fillId="0" borderId="46" xfId="0" applyNumberFormat="1" applyFont="1" applyBorder="1" applyAlignment="1">
      <alignment horizontal="center" vertical="center"/>
    </xf>
    <xf numFmtId="0" fontId="19" fillId="0" borderId="78" xfId="0" applyNumberFormat="1" applyFont="1" applyBorder="1" applyAlignment="1">
      <alignment horizontal="center" vertical="center"/>
    </xf>
    <xf numFmtId="165" fontId="5" fillId="2" borderId="79" xfId="0" applyNumberFormat="1" applyFont="1" applyFill="1" applyBorder="1" applyAlignment="1">
      <alignment horizontal="center"/>
    </xf>
    <xf numFmtId="0" fontId="19" fillId="0" borderId="78" xfId="0" applyFont="1" applyBorder="1" applyAlignment="1">
      <alignment horizontal="center" vertical="center"/>
    </xf>
    <xf numFmtId="2" fontId="5" fillId="2" borderId="79" xfId="0" applyNumberFormat="1" applyFont="1" applyFill="1" applyBorder="1" applyAlignment="1">
      <alignment horizontal="center"/>
    </xf>
    <xf numFmtId="2" fontId="5" fillId="2" borderId="35" xfId="0" applyNumberFormat="1" applyFont="1" applyFill="1" applyBorder="1" applyAlignment="1">
      <alignment horizontal="center"/>
    </xf>
    <xf numFmtId="1" fontId="19" fillId="0" borderId="46" xfId="0" applyNumberFormat="1" applyFont="1" applyBorder="1" applyAlignment="1">
      <alignment horizontal="center" vertical="center"/>
    </xf>
    <xf numFmtId="1" fontId="19" fillId="0" borderId="80" xfId="0" applyNumberFormat="1" applyFont="1" applyBorder="1" applyAlignment="1">
      <alignment horizontal="center" vertical="center"/>
    </xf>
    <xf numFmtId="0" fontId="19" fillId="0" borderId="78" xfId="0" applyFont="1" applyBorder="1" applyAlignment="1">
      <alignment horizontal="center"/>
    </xf>
    <xf numFmtId="1" fontId="19" fillId="0" borderId="80" xfId="0" applyNumberFormat="1" applyFont="1" applyBorder="1" applyAlignment="1">
      <alignment horizontal="center"/>
    </xf>
    <xf numFmtId="0" fontId="19" fillId="0" borderId="66" xfId="0" applyFont="1" applyFill="1" applyBorder="1" applyAlignment="1">
      <alignment horizontal="center" vertical="center"/>
    </xf>
    <xf numFmtId="0" fontId="19" fillId="0" borderId="50" xfId="0" applyFont="1" applyFill="1" applyBorder="1" applyAlignment="1">
      <alignment horizontal="center" vertical="center"/>
    </xf>
    <xf numFmtId="164" fontId="19" fillId="2" borderId="76" xfId="0" applyNumberFormat="1" applyFont="1" applyFill="1" applyBorder="1" applyAlignment="1">
      <alignment horizontal="center" vertical="center"/>
    </xf>
    <xf numFmtId="0" fontId="18" fillId="0" borderId="82" xfId="0" applyFont="1" applyBorder="1" applyAlignment="1">
      <alignment horizontal="center" textRotation="45" wrapText="1"/>
    </xf>
    <xf numFmtId="164" fontId="19" fillId="2" borderId="83" xfId="0" applyNumberFormat="1" applyFont="1" applyFill="1" applyBorder="1" applyAlignment="1">
      <alignment horizontal="center" vertical="center"/>
    </xf>
    <xf numFmtId="164" fontId="19" fillId="2" borderId="84" xfId="0" applyNumberFormat="1" applyFont="1" applyFill="1" applyBorder="1" applyAlignment="1">
      <alignment horizontal="center" vertical="center"/>
    </xf>
    <xf numFmtId="0" fontId="18" fillId="0" borderId="85" xfId="0" applyFont="1" applyBorder="1" applyAlignment="1">
      <alignment horizontal="center" textRotation="45" wrapText="1"/>
    </xf>
    <xf numFmtId="1" fontId="19" fillId="0" borderId="75" xfId="0" applyNumberFormat="1" applyFont="1" applyFill="1" applyBorder="1" applyAlignment="1">
      <alignment horizontal="center" vertical="center"/>
    </xf>
    <xf numFmtId="1" fontId="19" fillId="0" borderId="86" xfId="0" applyNumberFormat="1" applyFont="1" applyFill="1" applyBorder="1" applyAlignment="1">
      <alignment horizontal="center" vertical="center"/>
    </xf>
    <xf numFmtId="164" fontId="19" fillId="2" borderId="87" xfId="0" applyNumberFormat="1" applyFont="1" applyFill="1" applyBorder="1" applyAlignment="1">
      <alignment horizontal="center" vertical="center"/>
    </xf>
    <xf numFmtId="0" fontId="22" fillId="0" borderId="67" xfId="0" applyFont="1" applyBorder="1" applyAlignment="1"/>
    <xf numFmtId="0" fontId="18" fillId="0" borderId="88" xfId="0" applyFont="1" applyBorder="1" applyAlignment="1">
      <alignment horizontal="center" textRotation="45" wrapText="1"/>
    </xf>
    <xf numFmtId="164" fontId="19" fillId="2" borderId="89" xfId="0" applyNumberFormat="1" applyFont="1" applyFill="1" applyBorder="1" applyAlignment="1">
      <alignment horizontal="center" vertical="center"/>
    </xf>
    <xf numFmtId="1" fontId="5" fillId="2" borderId="44" xfId="0" applyNumberFormat="1" applyFont="1" applyFill="1" applyBorder="1" applyAlignment="1">
      <alignment horizontal="center" vertical="center"/>
    </xf>
    <xf numFmtId="0" fontId="19" fillId="0" borderId="66" xfId="0" applyFont="1" applyBorder="1" applyAlignment="1">
      <alignment horizontal="center" vertical="center"/>
    </xf>
    <xf numFmtId="0" fontId="19" fillId="2" borderId="47" xfId="0" applyFont="1" applyFill="1" applyBorder="1" applyAlignment="1">
      <alignment horizontal="center" vertical="center"/>
    </xf>
    <xf numFmtId="0" fontId="19" fillId="0" borderId="49" xfId="0" applyFont="1" applyBorder="1" applyAlignment="1">
      <alignment horizontal="center" vertical="center"/>
    </xf>
    <xf numFmtId="1" fontId="19" fillId="0" borderId="43" xfId="0" applyNumberFormat="1" applyFont="1" applyBorder="1" applyAlignment="1">
      <alignment horizontal="center" vertical="center"/>
    </xf>
    <xf numFmtId="0" fontId="19" fillId="0" borderId="77" xfId="0" applyFont="1" applyBorder="1"/>
    <xf numFmtId="0" fontId="19" fillId="2" borderId="44" xfId="0" applyFont="1" applyFill="1" applyBorder="1" applyAlignment="1">
      <alignment horizontal="center" vertical="center"/>
    </xf>
    <xf numFmtId="164" fontId="19" fillId="2" borderId="81" xfId="0" applyNumberFormat="1" applyFont="1" applyFill="1" applyBorder="1" applyAlignment="1">
      <alignment horizontal="center" vertical="center"/>
    </xf>
    <xf numFmtId="164" fontId="19" fillId="2" borderId="82" xfId="0" applyNumberFormat="1" applyFont="1" applyFill="1" applyBorder="1" applyAlignment="1">
      <alignment horizontal="center" vertical="center"/>
    </xf>
    <xf numFmtId="10" fontId="19" fillId="2" borderId="26" xfId="0" applyNumberFormat="1" applyFont="1" applyFill="1" applyBorder="1" applyAlignment="1">
      <alignment horizontal="center" vertical="center"/>
    </xf>
    <xf numFmtId="10" fontId="19" fillId="2" borderId="76" xfId="0" applyNumberFormat="1" applyFont="1" applyFill="1" applyBorder="1" applyAlignment="1">
      <alignment horizontal="center" vertical="center"/>
    </xf>
    <xf numFmtId="0" fontId="19" fillId="0" borderId="25" xfId="0" applyFont="1" applyBorder="1" applyAlignment="1">
      <alignment horizontal="center"/>
    </xf>
    <xf numFmtId="1" fontId="19" fillId="0" borderId="46" xfId="0" applyNumberFormat="1" applyFont="1" applyBorder="1" applyAlignment="1">
      <alignment horizontal="center"/>
    </xf>
    <xf numFmtId="0" fontId="19" fillId="2" borderId="35" xfId="0" applyFont="1" applyFill="1" applyBorder="1" applyAlignment="1">
      <alignment horizontal="center" vertical="center"/>
    </xf>
    <xf numFmtId="1" fontId="19" fillId="0" borderId="90" xfId="0" applyNumberFormat="1" applyFont="1" applyBorder="1" applyAlignment="1">
      <alignment horizontal="center" vertical="center"/>
    </xf>
    <xf numFmtId="0" fontId="19" fillId="0" borderId="34" xfId="0" applyFont="1" applyBorder="1" applyAlignment="1">
      <alignment horizontal="center" vertical="center"/>
    </xf>
    <xf numFmtId="1" fontId="19" fillId="0" borderId="91" xfId="0" applyNumberFormat="1" applyFont="1" applyFill="1" applyBorder="1" applyAlignment="1">
      <alignment horizontal="center" vertical="center"/>
    </xf>
    <xf numFmtId="0" fontId="19" fillId="0" borderId="79" xfId="0" applyFont="1" applyFill="1" applyBorder="1" applyAlignment="1">
      <alignment horizontal="center" vertical="center"/>
    </xf>
    <xf numFmtId="0" fontId="19" fillId="0" borderId="78" xfId="0" applyFont="1" applyFill="1" applyBorder="1" applyAlignment="1">
      <alignment horizontal="center" vertical="center"/>
    </xf>
    <xf numFmtId="0" fontId="19" fillId="0" borderId="80" xfId="0" applyFont="1" applyFill="1" applyBorder="1" applyAlignment="1">
      <alignment horizontal="center" vertical="center"/>
    </xf>
    <xf numFmtId="0" fontId="24" fillId="0" borderId="0" xfId="0" applyFont="1" applyBorder="1" applyAlignment="1">
      <alignment horizontal="center" vertical="center" wrapText="1"/>
    </xf>
    <xf numFmtId="0" fontId="5" fillId="0" borderId="20" xfId="0" applyFont="1" applyBorder="1" applyAlignment="1">
      <alignment horizontal="left" vertical="top" wrapText="1"/>
    </xf>
    <xf numFmtId="0" fontId="25" fillId="0" borderId="0" xfId="0" applyFont="1" applyAlignment="1">
      <alignment vertical="top" wrapText="1"/>
    </xf>
    <xf numFmtId="0" fontId="25" fillId="0" borderId="0" xfId="0" applyFont="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left"/>
    </xf>
    <xf numFmtId="0" fontId="5" fillId="0" borderId="0" xfId="0" applyFont="1" applyFill="1" applyAlignment="1">
      <alignment horizontal="center" vertical="center" wrapText="1"/>
    </xf>
    <xf numFmtId="9" fontId="5" fillId="0" borderId="0" xfId="0" applyNumberFormat="1" applyFont="1" applyBorder="1" applyAlignment="1">
      <alignment horizontal="left" vertical="top" wrapText="1"/>
    </xf>
    <xf numFmtId="9" fontId="5" fillId="0" borderId="0" xfId="0" applyNumberFormat="1" applyFont="1" applyBorder="1" applyAlignment="1">
      <alignment horizontal="center"/>
    </xf>
    <xf numFmtId="9" fontId="5" fillId="0" borderId="0" xfId="0" applyNumberFormat="1" applyFont="1" applyAlignment="1">
      <alignment horizontal="left"/>
    </xf>
    <xf numFmtId="0" fontId="5" fillId="0" borderId="0" xfId="0" applyFont="1" applyFill="1" applyBorder="1" applyAlignment="1">
      <alignment horizontal="center"/>
    </xf>
    <xf numFmtId="0" fontId="5" fillId="0" borderId="16" xfId="0" applyFont="1" applyFill="1" applyBorder="1" applyAlignment="1">
      <alignment horizontal="center"/>
    </xf>
    <xf numFmtId="9" fontId="5" fillId="0" borderId="0" xfId="0" applyNumberFormat="1" applyFont="1" applyFill="1" applyBorder="1" applyAlignment="1">
      <alignment horizontal="left" vertical="top"/>
    </xf>
    <xf numFmtId="9" fontId="5" fillId="0" borderId="0" xfId="0" applyNumberFormat="1" applyFont="1" applyFill="1" applyBorder="1" applyAlignment="1">
      <alignment horizontal="left" vertical="top" indent="3"/>
    </xf>
    <xf numFmtId="0" fontId="5" fillId="0" borderId="2" xfId="0" applyFont="1" applyFill="1" applyBorder="1" applyAlignment="1">
      <alignment horizontal="center"/>
    </xf>
    <xf numFmtId="1" fontId="26" fillId="0" borderId="0" xfId="0" applyNumberFormat="1" applyFont="1" applyAlignment="1">
      <alignment horizontal="center" vertical="center"/>
    </xf>
    <xf numFmtId="0" fontId="26" fillId="0" borderId="0" xfId="0" applyFont="1" applyAlignment="1">
      <alignment horizontal="center" vertical="center" wrapText="1"/>
    </xf>
    <xf numFmtId="0" fontId="25" fillId="0" borderId="16" xfId="0" applyFont="1" applyFill="1" applyBorder="1" applyAlignment="1">
      <alignment horizontal="right"/>
    </xf>
    <xf numFmtId="0" fontId="5" fillId="0" borderId="16" xfId="0" applyFont="1" applyFill="1" applyBorder="1" applyAlignment="1">
      <alignment horizontal="right" vertical="center"/>
    </xf>
    <xf numFmtId="0" fontId="25" fillId="0" borderId="0" xfId="0" applyFont="1" applyBorder="1" applyAlignment="1">
      <alignment vertical="top" wrapText="1"/>
    </xf>
    <xf numFmtId="0" fontId="25" fillId="0" borderId="0" xfId="0" applyFont="1" applyAlignment="1">
      <alignment vertical="top" wrapText="1"/>
    </xf>
    <xf numFmtId="0" fontId="25" fillId="0" borderId="0" xfId="0" applyFont="1" applyAlignment="1">
      <alignment horizontal="left" vertical="top" wrapText="1"/>
    </xf>
    <xf numFmtId="0" fontId="28" fillId="0" borderId="0" xfId="0" applyFont="1" applyAlignment="1">
      <alignment horizontal="left" vertical="top" wrapText="1"/>
    </xf>
    <xf numFmtId="0" fontId="24" fillId="0" borderId="0" xfId="0" applyFont="1" applyAlignment="1">
      <alignment horizontal="left" vertical="top" wrapText="1" indent="5"/>
    </xf>
    <xf numFmtId="0" fontId="8" fillId="0" borderId="0" xfId="0" applyFont="1" applyAlignment="1">
      <alignment horizontal="left"/>
    </xf>
    <xf numFmtId="0" fontId="7" fillId="0" borderId="0" xfId="0" applyFont="1" applyAlignment="1">
      <alignment horizontal="left"/>
    </xf>
    <xf numFmtId="0" fontId="1" fillId="0" borderId="54" xfId="0" applyFont="1" applyBorder="1" applyAlignment="1">
      <alignment horizontal="left" vertical="top" wrapText="1"/>
    </xf>
    <xf numFmtId="0" fontId="1" fillId="0" borderId="9" xfId="0" applyFont="1" applyBorder="1" applyAlignment="1">
      <alignment horizontal="left" vertical="top" wrapText="1"/>
    </xf>
    <xf numFmtId="0" fontId="2" fillId="0" borderId="0" xfId="0" applyFont="1" applyAlignment="1">
      <alignment horizontal="left"/>
    </xf>
    <xf numFmtId="0" fontId="5" fillId="0" borderId="1" xfId="0" applyFont="1" applyFill="1" applyBorder="1" applyAlignment="1">
      <alignment horizontal="left" vertical="top" wrapText="1"/>
    </xf>
    <xf numFmtId="0" fontId="5" fillId="0" borderId="28" xfId="0" applyFont="1" applyFill="1" applyBorder="1" applyAlignment="1">
      <alignment horizontal="left" vertical="top" wrapText="1"/>
    </xf>
    <xf numFmtId="0" fontId="25" fillId="0" borderId="54" xfId="0" applyFont="1" applyBorder="1" applyAlignment="1">
      <alignment horizontal="left" vertical="top" wrapText="1"/>
    </xf>
    <xf numFmtId="0" fontId="25" fillId="0" borderId="9" xfId="0" applyFont="1" applyBorder="1" applyAlignment="1">
      <alignment horizontal="left" vertical="top" wrapText="1"/>
    </xf>
    <xf numFmtId="0" fontId="5" fillId="0" borderId="59" xfId="0" applyFont="1" applyBorder="1" applyAlignment="1">
      <alignment horizontal="left" vertical="top" wrapText="1"/>
    </xf>
    <xf numFmtId="0" fontId="24" fillId="0" borderId="59" xfId="0" applyFont="1" applyBorder="1" applyAlignment="1">
      <alignment horizontal="left" vertical="top" wrapText="1"/>
    </xf>
    <xf numFmtId="0" fontId="1" fillId="0" borderId="0" xfId="0" applyFont="1" applyFill="1" applyBorder="1" applyAlignment="1">
      <alignment horizontal="right" wrapText="1"/>
    </xf>
    <xf numFmtId="0" fontId="1" fillId="0" borderId="8" xfId="0" applyFont="1" applyFill="1" applyBorder="1" applyAlignment="1">
      <alignment horizontal="right" wrapText="1"/>
    </xf>
    <xf numFmtId="0" fontId="33" fillId="0" borderId="0" xfId="0" applyFont="1" applyAlignment="1">
      <alignment horizontal="left" vertical="top"/>
    </xf>
    <xf numFmtId="0" fontId="1" fillId="0" borderId="34" xfId="0" applyFont="1" applyBorder="1" applyAlignment="1">
      <alignment horizontal="left" vertical="top" wrapText="1"/>
    </xf>
    <xf numFmtId="0" fontId="40" fillId="0" borderId="13" xfId="0" applyFont="1" applyBorder="1" applyAlignment="1">
      <alignment horizontal="left" wrapText="1"/>
    </xf>
    <xf numFmtId="0" fontId="40" fillId="0" borderId="27" xfId="0" applyFont="1" applyBorder="1" applyAlignment="1">
      <alignment horizontal="left" wrapText="1"/>
    </xf>
    <xf numFmtId="0" fontId="28" fillId="0" borderId="1" xfId="0" applyFont="1" applyBorder="1" applyAlignment="1">
      <alignment horizontal="left" vertical="top" wrapText="1"/>
    </xf>
    <xf numFmtId="0" fontId="28" fillId="0" borderId="28" xfId="0" applyFont="1" applyBorder="1" applyAlignment="1">
      <alignment horizontal="left" vertical="top" wrapText="1"/>
    </xf>
    <xf numFmtId="0" fontId="28" fillId="0" borderId="1" xfId="0" applyFont="1" applyBorder="1" applyAlignment="1">
      <alignment horizontal="left" vertical="top"/>
    </xf>
    <xf numFmtId="0" fontId="28" fillId="0" borderId="28" xfId="0" applyFont="1" applyBorder="1" applyAlignment="1">
      <alignment horizontal="left" vertical="top"/>
    </xf>
    <xf numFmtId="0" fontId="33" fillId="0" borderId="0" xfId="0" applyFont="1" applyBorder="1" applyAlignment="1">
      <alignment horizontal="left" vertical="top"/>
    </xf>
    <xf numFmtId="0" fontId="5" fillId="0" borderId="0" xfId="0" applyFont="1" applyBorder="1" applyAlignment="1">
      <alignment horizontal="left" vertical="top" wrapText="1"/>
    </xf>
    <xf numFmtId="0" fontId="5" fillId="0" borderId="28" xfId="0" applyFont="1" applyBorder="1" applyAlignment="1">
      <alignment horizontal="left" vertical="top" wrapText="1"/>
    </xf>
    <xf numFmtId="0" fontId="17" fillId="0" borderId="31" xfId="0" applyFont="1" applyBorder="1" applyAlignment="1">
      <alignment horizontal="center" vertical="top" wrapText="1"/>
    </xf>
    <xf numFmtId="0" fontId="17" fillId="0" borderId="30" xfId="0" applyFont="1" applyBorder="1" applyAlignment="1">
      <alignment horizontal="center" vertical="top" wrapText="1"/>
    </xf>
    <xf numFmtId="0" fontId="25" fillId="0" borderId="0" xfId="0" applyFont="1" applyAlignment="1">
      <alignment horizontal="right"/>
    </xf>
    <xf numFmtId="0" fontId="5" fillId="0" borderId="0" xfId="0" applyFont="1" applyBorder="1" applyAlignment="1">
      <alignment horizontal="right" vertical="center" wrapText="1"/>
    </xf>
    <xf numFmtId="0" fontId="5" fillId="0" borderId="49" xfId="0" applyFont="1" applyBorder="1" applyAlignment="1">
      <alignment horizontal="left" vertical="top" wrapText="1"/>
    </xf>
    <xf numFmtId="0" fontId="5" fillId="0" borderId="45" xfId="0" applyFont="1" applyBorder="1" applyAlignment="1">
      <alignment horizontal="left" vertical="top" wrapText="1"/>
    </xf>
    <xf numFmtId="0" fontId="5" fillId="0" borderId="52" xfId="0" applyFont="1" applyBorder="1" applyAlignment="1">
      <alignment horizontal="left" vertical="top" wrapText="1"/>
    </xf>
    <xf numFmtId="0" fontId="5" fillId="0" borderId="33" xfId="0" applyFont="1" applyBorder="1" applyAlignment="1">
      <alignment horizontal="left" vertical="top" wrapText="1"/>
    </xf>
    <xf numFmtId="0" fontId="1" fillId="0" borderId="54" xfId="0" applyFont="1" applyBorder="1" applyAlignment="1">
      <alignment horizontal="left" vertical="top"/>
    </xf>
    <xf numFmtId="0" fontId="0" fillId="0" borderId="9" xfId="0" applyBorder="1" applyAlignment="1">
      <alignment horizontal="left" vertical="top"/>
    </xf>
    <xf numFmtId="0" fontId="24" fillId="0" borderId="62" xfId="0" applyFont="1" applyBorder="1" applyAlignment="1">
      <alignment horizontal="left" vertical="top" wrapText="1"/>
    </xf>
    <xf numFmtId="0" fontId="1" fillId="0" borderId="34" xfId="0" applyFont="1" applyBorder="1" applyAlignment="1">
      <alignment horizontal="left" vertical="top"/>
    </xf>
    <xf numFmtId="0" fontId="1" fillId="0" borderId="9" xfId="0" applyFont="1" applyBorder="1" applyAlignment="1">
      <alignment horizontal="left" vertical="top"/>
    </xf>
    <xf numFmtId="0" fontId="1" fillId="0" borderId="0" xfId="0" applyFont="1" applyFill="1" applyBorder="1" applyAlignment="1">
      <alignment horizontal="right" vertical="center" wrapText="1"/>
    </xf>
    <xf numFmtId="0" fontId="1" fillId="0" borderId="8" xfId="0" applyFont="1" applyFill="1" applyBorder="1" applyAlignment="1">
      <alignment horizontal="right" vertical="center" wrapText="1"/>
    </xf>
    <xf numFmtId="0" fontId="2" fillId="0" borderId="0" xfId="0" applyFont="1" applyBorder="1" applyAlignment="1">
      <alignment horizontal="left"/>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top"/>
    </xf>
    <xf numFmtId="0" fontId="2" fillId="0" borderId="28" xfId="0" applyFont="1" applyBorder="1" applyAlignment="1">
      <alignment horizontal="left" vertical="top"/>
    </xf>
    <xf numFmtId="0" fontId="33" fillId="0" borderId="1" xfId="0" applyFont="1" applyBorder="1" applyAlignment="1">
      <alignment horizontal="left" vertical="top" wrapText="1"/>
    </xf>
    <xf numFmtId="0" fontId="33" fillId="0" borderId="0" xfId="0" applyFont="1" applyBorder="1" applyAlignment="1">
      <alignment horizontal="left" vertical="top" wrapText="1"/>
    </xf>
    <xf numFmtId="0" fontId="28" fillId="0" borderId="0" xfId="0" applyFont="1" applyBorder="1" applyAlignment="1">
      <alignment horizontal="left" vertical="top"/>
    </xf>
    <xf numFmtId="0" fontId="2" fillId="0" borderId="6" xfId="0" applyFont="1" applyBorder="1" applyAlignment="1">
      <alignment horizontal="left"/>
    </xf>
    <xf numFmtId="0" fontId="0" fillId="0" borderId="0" xfId="0" applyAlignment="1">
      <alignment horizontal="left"/>
    </xf>
    <xf numFmtId="0" fontId="5" fillId="0" borderId="54" xfId="0" applyFont="1" applyBorder="1" applyAlignment="1">
      <alignment horizontal="left" vertical="top"/>
    </xf>
    <xf numFmtId="0" fontId="11" fillId="0" borderId="9" xfId="0" applyFont="1"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24" fillId="0" borderId="0" xfId="0" applyFont="1" applyAlignment="1">
      <alignment vertical="top" wrapText="1"/>
    </xf>
    <xf numFmtId="0" fontId="5" fillId="0" borderId="0" xfId="0" applyFont="1" applyAlignment="1">
      <alignment horizontal="right"/>
    </xf>
    <xf numFmtId="0" fontId="23" fillId="0" borderId="47" xfId="0" applyFont="1" applyBorder="1" applyAlignment="1">
      <alignment horizontal="center"/>
    </xf>
    <xf numFmtId="0" fontId="29" fillId="0" borderId="0" xfId="0" applyFont="1" applyAlignment="1">
      <alignment horizontal="left" vertical="center" wrapText="1" readingOrder="1"/>
    </xf>
  </cellXfs>
  <cellStyles count="2">
    <cellStyle name="Normal" xfId="0" builtinId="0"/>
    <cellStyle name="Percent" xfId="1" builtinId="5"/>
  </cellStyles>
  <dxfs count="36">
    <dxf>
      <fill>
        <patternFill>
          <bgColor rgb="FFFF0000"/>
        </patternFill>
      </fill>
    </dxf>
    <dxf>
      <fill>
        <patternFill>
          <bgColor theme="2" tint="-0.24994659260841701"/>
        </patternFill>
      </fill>
    </dxf>
    <dxf>
      <fill>
        <patternFill>
          <bgColor rgb="FFFFFF00"/>
        </patternFill>
      </fill>
    </dxf>
    <dxf>
      <fill>
        <patternFill>
          <bgColor rgb="FF00B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B$40" lockText="1"/>
</file>

<file path=xl/ctrlProps/ctrlProp10.xml><?xml version="1.0" encoding="utf-8"?>
<formControlPr xmlns="http://schemas.microsoft.com/office/spreadsheetml/2009/9/main" objectType="CheckBox" fmlaLink="$B$49" lockText="1"/>
</file>

<file path=xl/ctrlProps/ctrlProp100.xml><?xml version="1.0" encoding="utf-8"?>
<formControlPr xmlns="http://schemas.microsoft.com/office/spreadsheetml/2009/9/main" objectType="CheckBox" fmlaLink="$B$166" lockText="1"/>
</file>

<file path=xl/ctrlProps/ctrlProp101.xml><?xml version="1.0" encoding="utf-8"?>
<formControlPr xmlns="http://schemas.microsoft.com/office/spreadsheetml/2009/9/main" objectType="CheckBox" fmlaLink="$B$167" lockText="1"/>
</file>

<file path=xl/ctrlProps/ctrlProp102.xml><?xml version="1.0" encoding="utf-8"?>
<formControlPr xmlns="http://schemas.microsoft.com/office/spreadsheetml/2009/9/main" objectType="CheckBox" fmlaLink="$B$174" lockText="1"/>
</file>

<file path=xl/ctrlProps/ctrlProp103.xml><?xml version="1.0" encoding="utf-8"?>
<formControlPr xmlns="http://schemas.microsoft.com/office/spreadsheetml/2009/9/main" objectType="CheckBox" fmlaLink="$B$175" lockText="1"/>
</file>

<file path=xl/ctrlProps/ctrlProp104.xml><?xml version="1.0" encoding="utf-8"?>
<formControlPr xmlns="http://schemas.microsoft.com/office/spreadsheetml/2009/9/main" objectType="CheckBox" fmlaLink="$B$176" lockText="1"/>
</file>

<file path=xl/ctrlProps/ctrlProp105.xml><?xml version="1.0" encoding="utf-8"?>
<formControlPr xmlns="http://schemas.microsoft.com/office/spreadsheetml/2009/9/main" objectType="CheckBox" fmlaLink="$B$177" lockText="1"/>
</file>

<file path=xl/ctrlProps/ctrlProp106.xml><?xml version="1.0" encoding="utf-8"?>
<formControlPr xmlns="http://schemas.microsoft.com/office/spreadsheetml/2009/9/main" objectType="CheckBox" fmlaLink="$B$178" lockText="1"/>
</file>

<file path=xl/ctrlProps/ctrlProp107.xml><?xml version="1.0" encoding="utf-8"?>
<formControlPr xmlns="http://schemas.microsoft.com/office/spreadsheetml/2009/9/main" objectType="CheckBox" fmlaLink="$B$179" lockText="1"/>
</file>

<file path=xl/ctrlProps/ctrlProp108.xml><?xml version="1.0" encoding="utf-8"?>
<formControlPr xmlns="http://schemas.microsoft.com/office/spreadsheetml/2009/9/main" objectType="CheckBox" fmlaLink="$B$180" lockText="1"/>
</file>

<file path=xl/ctrlProps/ctrlProp109.xml><?xml version="1.0" encoding="utf-8"?>
<formControlPr xmlns="http://schemas.microsoft.com/office/spreadsheetml/2009/9/main" objectType="CheckBox" fmlaLink="$B$187" lockText="1"/>
</file>

<file path=xl/ctrlProps/ctrlProp11.xml><?xml version="1.0" encoding="utf-8"?>
<formControlPr xmlns="http://schemas.microsoft.com/office/spreadsheetml/2009/9/main" objectType="CheckBox" fmlaLink="$B$50" lockText="1"/>
</file>

<file path=xl/ctrlProps/ctrlProp110.xml><?xml version="1.0" encoding="utf-8"?>
<formControlPr xmlns="http://schemas.microsoft.com/office/spreadsheetml/2009/9/main" objectType="CheckBox" fmlaLink="$B$188" lockText="1"/>
</file>

<file path=xl/ctrlProps/ctrlProp111.xml><?xml version="1.0" encoding="utf-8"?>
<formControlPr xmlns="http://schemas.microsoft.com/office/spreadsheetml/2009/9/main" objectType="CheckBox" fmlaLink="$B$189" lockText="1"/>
</file>

<file path=xl/ctrlProps/ctrlProp112.xml><?xml version="1.0" encoding="utf-8"?>
<formControlPr xmlns="http://schemas.microsoft.com/office/spreadsheetml/2009/9/main" objectType="CheckBox" fmlaLink="$B$190" lockText="1"/>
</file>

<file path=xl/ctrlProps/ctrlProp113.xml><?xml version="1.0" encoding="utf-8"?>
<formControlPr xmlns="http://schemas.microsoft.com/office/spreadsheetml/2009/9/main" objectType="CheckBox" fmlaLink="$B$191" lockText="1"/>
</file>

<file path=xl/ctrlProps/ctrlProp114.xml><?xml version="1.0" encoding="utf-8"?>
<formControlPr xmlns="http://schemas.microsoft.com/office/spreadsheetml/2009/9/main" objectType="CheckBox" fmlaLink="$B$192" lockText="1"/>
</file>

<file path=xl/ctrlProps/ctrlProp115.xml><?xml version="1.0" encoding="utf-8"?>
<formControlPr xmlns="http://schemas.microsoft.com/office/spreadsheetml/2009/9/main" objectType="CheckBox" fmlaLink="$B$193" lockText="1"/>
</file>

<file path=xl/ctrlProps/ctrlProp116.xml><?xml version="1.0" encoding="utf-8"?>
<formControlPr xmlns="http://schemas.microsoft.com/office/spreadsheetml/2009/9/main" objectType="CheckBox" fmlaLink="$C$10" lockText="1"/>
</file>

<file path=xl/ctrlProps/ctrlProp117.xml><?xml version="1.0" encoding="utf-8"?>
<formControlPr xmlns="http://schemas.microsoft.com/office/spreadsheetml/2009/9/main" objectType="CheckBox" fmlaLink="$C$7" lockText="1"/>
</file>

<file path=xl/ctrlProps/ctrlProp118.xml><?xml version="1.0" encoding="utf-8"?>
<formControlPr xmlns="http://schemas.microsoft.com/office/spreadsheetml/2009/9/main" objectType="CheckBox" fmlaLink="$C$9" lockText="1"/>
</file>

<file path=xl/ctrlProps/ctrlProp119.xml><?xml version="1.0" encoding="utf-8"?>
<formControlPr xmlns="http://schemas.microsoft.com/office/spreadsheetml/2009/9/main" objectType="CheckBox" fmlaLink="$C$8" lockText="1"/>
</file>

<file path=xl/ctrlProps/ctrlProp12.xml><?xml version="1.0" encoding="utf-8"?>
<formControlPr xmlns="http://schemas.microsoft.com/office/spreadsheetml/2009/9/main" objectType="CheckBox" fmlaLink="$B$51" lockText="1"/>
</file>

<file path=xl/ctrlProps/ctrlProp120.xml><?xml version="1.0" encoding="utf-8"?>
<formControlPr xmlns="http://schemas.microsoft.com/office/spreadsheetml/2009/9/main" objectType="CheckBox" fmlaLink="$C$9" lockText="1"/>
</file>

<file path=xl/ctrlProps/ctrlProp121.xml><?xml version="1.0" encoding="utf-8"?>
<formControlPr xmlns="http://schemas.microsoft.com/office/spreadsheetml/2009/9/main" objectType="CheckBox" fmlaLink="$C$10" lockText="1"/>
</file>

<file path=xl/ctrlProps/ctrlProp122.xml><?xml version="1.0" encoding="utf-8"?>
<formControlPr xmlns="http://schemas.microsoft.com/office/spreadsheetml/2009/9/main" objectType="CheckBox" fmlaLink="$D$8" lockText="1"/>
</file>

<file path=xl/ctrlProps/ctrlProp123.xml><?xml version="1.0" encoding="utf-8"?>
<formControlPr xmlns="http://schemas.microsoft.com/office/spreadsheetml/2009/9/main" objectType="CheckBox" fmlaLink="$D$9" lockText="1"/>
</file>

<file path=xl/ctrlProps/ctrlProp124.xml><?xml version="1.0" encoding="utf-8"?>
<formControlPr xmlns="http://schemas.microsoft.com/office/spreadsheetml/2009/9/main" objectType="CheckBox" fmlaLink="$D$10" lockText="1"/>
</file>

<file path=xl/ctrlProps/ctrlProp125.xml><?xml version="1.0" encoding="utf-8"?>
<formControlPr xmlns="http://schemas.microsoft.com/office/spreadsheetml/2009/9/main" objectType="CheckBox" fmlaLink="$D$11" lockText="1"/>
</file>

<file path=xl/ctrlProps/ctrlProp126.xml><?xml version="1.0" encoding="utf-8"?>
<formControlPr xmlns="http://schemas.microsoft.com/office/spreadsheetml/2009/9/main" objectType="CheckBox" fmlaLink="$C$8" lockText="1"/>
</file>

<file path=xl/ctrlProps/ctrlProp127.xml><?xml version="1.0" encoding="utf-8"?>
<formControlPr xmlns="http://schemas.microsoft.com/office/spreadsheetml/2009/9/main" objectType="CheckBox" fmlaLink="$C$9" lockText="1"/>
</file>

<file path=xl/ctrlProps/ctrlProp128.xml><?xml version="1.0" encoding="utf-8"?>
<formControlPr xmlns="http://schemas.microsoft.com/office/spreadsheetml/2009/9/main" objectType="CheckBox" fmlaLink="$C$10" lockText="1"/>
</file>

<file path=xl/ctrlProps/ctrlProp129.xml><?xml version="1.0" encoding="utf-8"?>
<formControlPr xmlns="http://schemas.microsoft.com/office/spreadsheetml/2009/9/main" objectType="CheckBox" fmlaLink="$C$11" lockText="1"/>
</file>

<file path=xl/ctrlProps/ctrlProp13.xml><?xml version="1.0" encoding="utf-8"?>
<formControlPr xmlns="http://schemas.microsoft.com/office/spreadsheetml/2009/9/main" objectType="CheckBox" fmlaLink="$B$52" lockText="1"/>
</file>

<file path=xl/ctrlProps/ctrlProp130.xml><?xml version="1.0" encoding="utf-8"?>
<formControlPr xmlns="http://schemas.microsoft.com/office/spreadsheetml/2009/9/main" objectType="CheckBox" fmlaLink="$C$13" lockText="1"/>
</file>

<file path=xl/ctrlProps/ctrlProp131.xml><?xml version="1.0" encoding="utf-8"?>
<formControlPr xmlns="http://schemas.microsoft.com/office/spreadsheetml/2009/9/main" objectType="CheckBox" fmlaLink="$C$14" lockText="1"/>
</file>

<file path=xl/ctrlProps/ctrlProp132.xml><?xml version="1.0" encoding="utf-8"?>
<formControlPr xmlns="http://schemas.microsoft.com/office/spreadsheetml/2009/9/main" objectType="CheckBox" fmlaLink="$C$15" lockText="1"/>
</file>

<file path=xl/ctrlProps/ctrlProp133.xml><?xml version="1.0" encoding="utf-8"?>
<formControlPr xmlns="http://schemas.microsoft.com/office/spreadsheetml/2009/9/main" objectType="CheckBox" fmlaLink="$C$17" lockText="1"/>
</file>

<file path=xl/ctrlProps/ctrlProp134.xml><?xml version="1.0" encoding="utf-8"?>
<formControlPr xmlns="http://schemas.microsoft.com/office/spreadsheetml/2009/9/main" objectType="CheckBox" fmlaLink="$C$18" lockText="1"/>
</file>

<file path=xl/ctrlProps/ctrlProp135.xml><?xml version="1.0" encoding="utf-8"?>
<formControlPr xmlns="http://schemas.microsoft.com/office/spreadsheetml/2009/9/main" objectType="CheckBox" fmlaLink="$C$19" lockText="1"/>
</file>

<file path=xl/ctrlProps/ctrlProp136.xml><?xml version="1.0" encoding="utf-8"?>
<formControlPr xmlns="http://schemas.microsoft.com/office/spreadsheetml/2009/9/main" objectType="CheckBox" fmlaLink="$C$21" lockText="1"/>
</file>

<file path=xl/ctrlProps/ctrlProp137.xml><?xml version="1.0" encoding="utf-8"?>
<formControlPr xmlns="http://schemas.microsoft.com/office/spreadsheetml/2009/9/main" objectType="CheckBox" fmlaLink="$C$22" lockText="1"/>
</file>

<file path=xl/ctrlProps/ctrlProp138.xml><?xml version="1.0" encoding="utf-8"?>
<formControlPr xmlns="http://schemas.microsoft.com/office/spreadsheetml/2009/9/main" objectType="CheckBox" fmlaLink="$C$23" lockText="1"/>
</file>

<file path=xl/ctrlProps/ctrlProp139.xml><?xml version="1.0" encoding="utf-8"?>
<formControlPr xmlns="http://schemas.microsoft.com/office/spreadsheetml/2009/9/main" objectType="CheckBox" fmlaLink="$C$24" lockText="1"/>
</file>

<file path=xl/ctrlProps/ctrlProp14.xml><?xml version="1.0" encoding="utf-8"?>
<formControlPr xmlns="http://schemas.microsoft.com/office/spreadsheetml/2009/9/main" objectType="CheckBox" fmlaLink="$B$54" lockText="1"/>
</file>

<file path=xl/ctrlProps/ctrlProp140.xml><?xml version="1.0" encoding="utf-8"?>
<formControlPr xmlns="http://schemas.microsoft.com/office/spreadsheetml/2009/9/main" objectType="CheckBox" fmlaLink="$C$25" lockText="1"/>
</file>

<file path=xl/ctrlProps/ctrlProp141.xml><?xml version="1.0" encoding="utf-8"?>
<formControlPr xmlns="http://schemas.microsoft.com/office/spreadsheetml/2009/9/main" objectType="CheckBox" fmlaLink="$C$26" lockText="1"/>
</file>

<file path=xl/ctrlProps/ctrlProp142.xml><?xml version="1.0" encoding="utf-8"?>
<formControlPr xmlns="http://schemas.microsoft.com/office/spreadsheetml/2009/9/main" objectType="CheckBox" fmlaLink="$C$27" lockText="1"/>
</file>

<file path=xl/ctrlProps/ctrlProp143.xml><?xml version="1.0" encoding="utf-8"?>
<formControlPr xmlns="http://schemas.microsoft.com/office/spreadsheetml/2009/9/main" objectType="CheckBox" fmlaLink="$C$28" lockText="1"/>
</file>

<file path=xl/ctrlProps/ctrlProp144.xml><?xml version="1.0" encoding="utf-8"?>
<formControlPr xmlns="http://schemas.microsoft.com/office/spreadsheetml/2009/9/main" objectType="CheckBox" fmlaLink="$C$29" lockText="1"/>
</file>

<file path=xl/ctrlProps/ctrlProp145.xml><?xml version="1.0" encoding="utf-8"?>
<formControlPr xmlns="http://schemas.microsoft.com/office/spreadsheetml/2009/9/main" objectType="CheckBox" fmlaLink="$C$30" lockText="1"/>
</file>

<file path=xl/ctrlProps/ctrlProp146.xml><?xml version="1.0" encoding="utf-8"?>
<formControlPr xmlns="http://schemas.microsoft.com/office/spreadsheetml/2009/9/main" objectType="CheckBox" fmlaLink="$D$8" lockText="1"/>
</file>

<file path=xl/ctrlProps/ctrlProp147.xml><?xml version="1.0" encoding="utf-8"?>
<formControlPr xmlns="http://schemas.microsoft.com/office/spreadsheetml/2009/9/main" objectType="CheckBox" fmlaLink="$D$9" lockText="1"/>
</file>

<file path=xl/ctrlProps/ctrlProp148.xml><?xml version="1.0" encoding="utf-8"?>
<formControlPr xmlns="http://schemas.microsoft.com/office/spreadsheetml/2009/9/main" objectType="CheckBox" fmlaLink="$D$12" lockText="1"/>
</file>

<file path=xl/ctrlProps/ctrlProp149.xml><?xml version="1.0" encoding="utf-8"?>
<formControlPr xmlns="http://schemas.microsoft.com/office/spreadsheetml/2009/9/main" objectType="CheckBox" fmlaLink="$D$13" lockText="1"/>
</file>

<file path=xl/ctrlProps/ctrlProp15.xml><?xml version="1.0" encoding="utf-8"?>
<formControlPr xmlns="http://schemas.microsoft.com/office/spreadsheetml/2009/9/main" objectType="CheckBox" fmlaLink="$B$55" lockText="1"/>
</file>

<file path=xl/ctrlProps/ctrlProp150.xml><?xml version="1.0" encoding="utf-8"?>
<formControlPr xmlns="http://schemas.microsoft.com/office/spreadsheetml/2009/9/main" objectType="CheckBox" fmlaLink="$D$14" lockText="1"/>
</file>

<file path=xl/ctrlProps/ctrlProp151.xml><?xml version="1.0" encoding="utf-8"?>
<formControlPr xmlns="http://schemas.microsoft.com/office/spreadsheetml/2009/9/main" objectType="CheckBox" fmlaLink="$D$15" lockText="1"/>
</file>

<file path=xl/ctrlProps/ctrlProp152.xml><?xml version="1.0" encoding="utf-8"?>
<formControlPr xmlns="http://schemas.microsoft.com/office/spreadsheetml/2009/9/main" objectType="CheckBox" fmlaLink="$D$16" lockText="1"/>
</file>

<file path=xl/ctrlProps/ctrlProp153.xml><?xml version="1.0" encoding="utf-8"?>
<formControlPr xmlns="http://schemas.microsoft.com/office/spreadsheetml/2009/9/main" objectType="CheckBox" fmlaLink="$D$17" lockText="1"/>
</file>

<file path=xl/ctrlProps/ctrlProp154.xml><?xml version="1.0" encoding="utf-8"?>
<formControlPr xmlns="http://schemas.microsoft.com/office/spreadsheetml/2009/9/main" objectType="CheckBox" fmlaLink="$D$18" lockText="1"/>
</file>

<file path=xl/ctrlProps/ctrlProp155.xml><?xml version="1.0" encoding="utf-8"?>
<formControlPr xmlns="http://schemas.microsoft.com/office/spreadsheetml/2009/9/main" objectType="CheckBox" fmlaLink="$D$19" lockText="1"/>
</file>

<file path=xl/ctrlProps/ctrlProp156.xml><?xml version="1.0" encoding="utf-8"?>
<formControlPr xmlns="http://schemas.microsoft.com/office/spreadsheetml/2009/9/main" objectType="CheckBox" fmlaLink="$D$20" lockText="1"/>
</file>

<file path=xl/ctrlProps/ctrlProp157.xml><?xml version="1.0" encoding="utf-8"?>
<formControlPr xmlns="http://schemas.microsoft.com/office/spreadsheetml/2009/9/main" objectType="CheckBox" fmlaLink="$D$27" lockText="1"/>
</file>

<file path=xl/ctrlProps/ctrlProp158.xml><?xml version="1.0" encoding="utf-8"?>
<formControlPr xmlns="http://schemas.microsoft.com/office/spreadsheetml/2009/9/main" objectType="CheckBox" fmlaLink="$D$28" lockText="1"/>
</file>

<file path=xl/ctrlProps/ctrlProp159.xml><?xml version="1.0" encoding="utf-8"?>
<formControlPr xmlns="http://schemas.microsoft.com/office/spreadsheetml/2009/9/main" objectType="CheckBox" fmlaLink="$D$31" lockText="1"/>
</file>

<file path=xl/ctrlProps/ctrlProp16.xml><?xml version="1.0" encoding="utf-8"?>
<formControlPr xmlns="http://schemas.microsoft.com/office/spreadsheetml/2009/9/main" objectType="CheckBox" fmlaLink="$B$56" lockText="1"/>
</file>

<file path=xl/ctrlProps/ctrlProp160.xml><?xml version="1.0" encoding="utf-8"?>
<formControlPr xmlns="http://schemas.microsoft.com/office/spreadsheetml/2009/9/main" objectType="CheckBox" fmlaLink="$D$32" lockText="1"/>
</file>

<file path=xl/ctrlProps/ctrlProp161.xml><?xml version="1.0" encoding="utf-8"?>
<formControlPr xmlns="http://schemas.microsoft.com/office/spreadsheetml/2009/9/main" objectType="CheckBox" fmlaLink="$D$33" lockText="1"/>
</file>

<file path=xl/ctrlProps/ctrlProp162.xml><?xml version="1.0" encoding="utf-8"?>
<formControlPr xmlns="http://schemas.microsoft.com/office/spreadsheetml/2009/9/main" objectType="CheckBox" fmlaLink="$D$34" lockText="1"/>
</file>

<file path=xl/ctrlProps/ctrlProp163.xml><?xml version="1.0" encoding="utf-8"?>
<formControlPr xmlns="http://schemas.microsoft.com/office/spreadsheetml/2009/9/main" objectType="CheckBox" fmlaLink="$D$35" lockText="1"/>
</file>

<file path=xl/ctrlProps/ctrlProp164.xml><?xml version="1.0" encoding="utf-8"?>
<formControlPr xmlns="http://schemas.microsoft.com/office/spreadsheetml/2009/9/main" objectType="CheckBox" fmlaLink="$D$36" lockText="1"/>
</file>

<file path=xl/ctrlProps/ctrlProp165.xml><?xml version="1.0" encoding="utf-8"?>
<formControlPr xmlns="http://schemas.microsoft.com/office/spreadsheetml/2009/9/main" objectType="CheckBox" fmlaLink="$D$37" lockText="1"/>
</file>

<file path=xl/ctrlProps/ctrlProp166.xml><?xml version="1.0" encoding="utf-8"?>
<formControlPr xmlns="http://schemas.microsoft.com/office/spreadsheetml/2009/9/main" objectType="CheckBox" fmlaLink="$D$38" lockText="1"/>
</file>

<file path=xl/ctrlProps/ctrlProp167.xml><?xml version="1.0" encoding="utf-8"?>
<formControlPr xmlns="http://schemas.microsoft.com/office/spreadsheetml/2009/9/main" objectType="CheckBox" fmlaLink="$D$39" lockText="1"/>
</file>

<file path=xl/ctrlProps/ctrlProp168.xml><?xml version="1.0" encoding="utf-8"?>
<formControlPr xmlns="http://schemas.microsoft.com/office/spreadsheetml/2009/9/main" objectType="CheckBox" fmlaLink="$D$40" lockText="1"/>
</file>

<file path=xl/ctrlProps/ctrlProp169.xml><?xml version="1.0" encoding="utf-8"?>
<formControlPr xmlns="http://schemas.microsoft.com/office/spreadsheetml/2009/9/main" objectType="CheckBox" fmlaLink="$D$41" lockText="1"/>
</file>

<file path=xl/ctrlProps/ctrlProp17.xml><?xml version="1.0" encoding="utf-8"?>
<formControlPr xmlns="http://schemas.microsoft.com/office/spreadsheetml/2009/9/main" objectType="CheckBox" fmlaLink="$B$57" lockText="1"/>
</file>

<file path=xl/ctrlProps/ctrlProp170.xml><?xml version="1.0" encoding="utf-8"?>
<formControlPr xmlns="http://schemas.microsoft.com/office/spreadsheetml/2009/9/main" objectType="CheckBox" fmlaLink="$D$42" lockText="1"/>
</file>

<file path=xl/ctrlProps/ctrlProp171.xml><?xml version="1.0" encoding="utf-8"?>
<formControlPr xmlns="http://schemas.microsoft.com/office/spreadsheetml/2009/9/main" objectType="CheckBox" fmlaLink="$D$49" lockText="1"/>
</file>

<file path=xl/ctrlProps/ctrlProp172.xml><?xml version="1.0" encoding="utf-8"?>
<formControlPr xmlns="http://schemas.microsoft.com/office/spreadsheetml/2009/9/main" objectType="CheckBox" fmlaLink="$D$50" lockText="1"/>
</file>

<file path=xl/ctrlProps/ctrlProp173.xml><?xml version="1.0" encoding="utf-8"?>
<formControlPr xmlns="http://schemas.microsoft.com/office/spreadsheetml/2009/9/main" objectType="CheckBox" fmlaLink="$D$53" lockText="1"/>
</file>

<file path=xl/ctrlProps/ctrlProp174.xml><?xml version="1.0" encoding="utf-8"?>
<formControlPr xmlns="http://schemas.microsoft.com/office/spreadsheetml/2009/9/main" objectType="CheckBox" fmlaLink="$D$54" lockText="1"/>
</file>

<file path=xl/ctrlProps/ctrlProp175.xml><?xml version="1.0" encoding="utf-8"?>
<formControlPr xmlns="http://schemas.microsoft.com/office/spreadsheetml/2009/9/main" objectType="CheckBox" fmlaLink="$D$55" lockText="1"/>
</file>

<file path=xl/ctrlProps/ctrlProp176.xml><?xml version="1.0" encoding="utf-8"?>
<formControlPr xmlns="http://schemas.microsoft.com/office/spreadsheetml/2009/9/main" objectType="CheckBox" fmlaLink="$D$56" lockText="1"/>
</file>

<file path=xl/ctrlProps/ctrlProp177.xml><?xml version="1.0" encoding="utf-8"?>
<formControlPr xmlns="http://schemas.microsoft.com/office/spreadsheetml/2009/9/main" objectType="CheckBox" fmlaLink="$D$57" lockText="1"/>
</file>

<file path=xl/ctrlProps/ctrlProp178.xml><?xml version="1.0" encoding="utf-8"?>
<formControlPr xmlns="http://schemas.microsoft.com/office/spreadsheetml/2009/9/main" objectType="CheckBox" fmlaLink="$D$58" lockText="1"/>
</file>

<file path=xl/ctrlProps/ctrlProp179.xml><?xml version="1.0" encoding="utf-8"?>
<formControlPr xmlns="http://schemas.microsoft.com/office/spreadsheetml/2009/9/main" objectType="CheckBox" fmlaLink="$D$59" lockText="1"/>
</file>

<file path=xl/ctrlProps/ctrlProp18.xml><?xml version="1.0" encoding="utf-8"?>
<formControlPr xmlns="http://schemas.microsoft.com/office/spreadsheetml/2009/9/main" objectType="CheckBox" fmlaLink="$B$58" lockText="1"/>
</file>

<file path=xl/ctrlProps/ctrlProp180.xml><?xml version="1.0" encoding="utf-8"?>
<formControlPr xmlns="http://schemas.microsoft.com/office/spreadsheetml/2009/9/main" objectType="CheckBox" fmlaLink="$D$60" lockText="1"/>
</file>

<file path=xl/ctrlProps/ctrlProp181.xml><?xml version="1.0" encoding="utf-8"?>
<formControlPr xmlns="http://schemas.microsoft.com/office/spreadsheetml/2009/9/main" objectType="CheckBox" fmlaLink="$D$61" lockText="1"/>
</file>

<file path=xl/ctrlProps/ctrlProp182.xml><?xml version="1.0" encoding="utf-8"?>
<formControlPr xmlns="http://schemas.microsoft.com/office/spreadsheetml/2009/9/main" objectType="CheckBox" fmlaLink="$D$62" lockText="1"/>
</file>

<file path=xl/ctrlProps/ctrlProp183.xml><?xml version="1.0" encoding="utf-8"?>
<formControlPr xmlns="http://schemas.microsoft.com/office/spreadsheetml/2009/9/main" objectType="CheckBox" fmlaLink="$D$63" lockText="1"/>
</file>

<file path=xl/ctrlProps/ctrlProp184.xml><?xml version="1.0" encoding="utf-8"?>
<formControlPr xmlns="http://schemas.microsoft.com/office/spreadsheetml/2009/9/main" objectType="CheckBox" fmlaLink="$D$64" lockText="1"/>
</file>

<file path=xl/ctrlProps/ctrlProp185.xml><?xml version="1.0" encoding="utf-8"?>
<formControlPr xmlns="http://schemas.microsoft.com/office/spreadsheetml/2009/9/main" objectType="CheckBox" fmlaLink="$D$65" lockText="1"/>
</file>

<file path=xl/ctrlProps/ctrlProp186.xml><?xml version="1.0" encoding="utf-8"?>
<formControlPr xmlns="http://schemas.microsoft.com/office/spreadsheetml/2009/9/main" objectType="CheckBox" fmlaLink="$D$43" lockText="1"/>
</file>

<file path=xl/ctrlProps/ctrlProp187.xml><?xml version="1.0" encoding="utf-8"?>
<formControlPr xmlns="http://schemas.microsoft.com/office/spreadsheetml/2009/9/main" objectType="CheckBox" fmlaLink="$D$10" lockText="1"/>
</file>

<file path=xl/ctrlProps/ctrlProp188.xml><?xml version="1.0" encoding="utf-8"?>
<formControlPr xmlns="http://schemas.microsoft.com/office/spreadsheetml/2009/9/main" objectType="CheckBox" fmlaLink="$D$11" lockText="1"/>
</file>

<file path=xl/ctrlProps/ctrlProp189.xml><?xml version="1.0" encoding="utf-8"?>
<formControlPr xmlns="http://schemas.microsoft.com/office/spreadsheetml/2009/9/main" objectType="CheckBox" fmlaLink="$D$29" lockText="1"/>
</file>

<file path=xl/ctrlProps/ctrlProp19.xml><?xml version="1.0" encoding="utf-8"?>
<formControlPr xmlns="http://schemas.microsoft.com/office/spreadsheetml/2009/9/main" objectType="CheckBox" fmlaLink="$B$59" lockText="1"/>
</file>

<file path=xl/ctrlProps/ctrlProp190.xml><?xml version="1.0" encoding="utf-8"?>
<formControlPr xmlns="http://schemas.microsoft.com/office/spreadsheetml/2009/9/main" objectType="CheckBox" fmlaLink="$D$30" lockText="1"/>
</file>

<file path=xl/ctrlProps/ctrlProp191.xml><?xml version="1.0" encoding="utf-8"?>
<formControlPr xmlns="http://schemas.microsoft.com/office/spreadsheetml/2009/9/main" objectType="CheckBox" fmlaLink="$D$51" lockText="1"/>
</file>

<file path=xl/ctrlProps/ctrlProp192.xml><?xml version="1.0" encoding="utf-8"?>
<formControlPr xmlns="http://schemas.microsoft.com/office/spreadsheetml/2009/9/main" objectType="CheckBox" fmlaLink="$D$52" lockText="1"/>
</file>

<file path=xl/ctrlProps/ctrlProp193.xml><?xml version="1.0" encoding="utf-8"?>
<formControlPr xmlns="http://schemas.microsoft.com/office/spreadsheetml/2009/9/main" objectType="CheckBox" fmlaLink="$D$21" lockText="1"/>
</file>

<file path=xl/ctrlProps/ctrlProp194.xml><?xml version="1.0" encoding="utf-8"?>
<formControlPr xmlns="http://schemas.microsoft.com/office/spreadsheetml/2009/9/main" objectType="CheckBox" fmlaLink="$D$9" lockText="1"/>
</file>

<file path=xl/ctrlProps/ctrlProp195.xml><?xml version="1.0" encoding="utf-8"?>
<formControlPr xmlns="http://schemas.microsoft.com/office/spreadsheetml/2009/9/main" objectType="CheckBox" fmlaLink="$D$10" lockText="1"/>
</file>

<file path=xl/ctrlProps/ctrlProp196.xml><?xml version="1.0" encoding="utf-8"?>
<formControlPr xmlns="http://schemas.microsoft.com/office/spreadsheetml/2009/9/main" objectType="CheckBox" fmlaLink="$D$11" lockText="1"/>
</file>

<file path=xl/ctrlProps/ctrlProp197.xml><?xml version="1.0" encoding="utf-8"?>
<formControlPr xmlns="http://schemas.microsoft.com/office/spreadsheetml/2009/9/main" objectType="CheckBox" fmlaLink="$D$12" lockText="1"/>
</file>

<file path=xl/ctrlProps/ctrlProp198.xml><?xml version="1.0" encoding="utf-8"?>
<formControlPr xmlns="http://schemas.microsoft.com/office/spreadsheetml/2009/9/main" objectType="CheckBox" fmlaLink="$D$13" lockText="1"/>
</file>

<file path=xl/ctrlProps/ctrlProp199.xml><?xml version="1.0" encoding="utf-8"?>
<formControlPr xmlns="http://schemas.microsoft.com/office/spreadsheetml/2009/9/main" objectType="CheckBox" fmlaLink="$D$14" lockText="1"/>
</file>

<file path=xl/ctrlProps/ctrlProp2.xml><?xml version="1.0" encoding="utf-8"?>
<formControlPr xmlns="http://schemas.microsoft.com/office/spreadsheetml/2009/9/main" objectType="CheckBox" fmlaLink="$B$41" lockText="1"/>
</file>

<file path=xl/ctrlProps/ctrlProp20.xml><?xml version="1.0" encoding="utf-8"?>
<formControlPr xmlns="http://schemas.microsoft.com/office/spreadsheetml/2009/9/main" objectType="CheckBox" fmlaLink="$B$60" lockText="1"/>
</file>

<file path=xl/ctrlProps/ctrlProp200.xml><?xml version="1.0" encoding="utf-8"?>
<formControlPr xmlns="http://schemas.microsoft.com/office/spreadsheetml/2009/9/main" objectType="CheckBox" fmlaLink="$D$15" lockText="1"/>
</file>

<file path=xl/ctrlProps/ctrlProp201.xml><?xml version="1.0" encoding="utf-8"?>
<formControlPr xmlns="http://schemas.microsoft.com/office/spreadsheetml/2009/9/main" objectType="CheckBox" fmlaLink="$D$16" lockText="1"/>
</file>

<file path=xl/ctrlProps/ctrlProp202.xml><?xml version="1.0" encoding="utf-8"?>
<formControlPr xmlns="http://schemas.microsoft.com/office/spreadsheetml/2009/9/main" objectType="CheckBox" fmlaLink="$D$17" lockText="1"/>
</file>

<file path=xl/ctrlProps/ctrlProp203.xml><?xml version="1.0" encoding="utf-8"?>
<formControlPr xmlns="http://schemas.microsoft.com/office/spreadsheetml/2009/9/main" objectType="CheckBox" fmlaLink="$D$18" lockText="1"/>
</file>

<file path=xl/ctrlProps/ctrlProp204.xml><?xml version="1.0" encoding="utf-8"?>
<formControlPr xmlns="http://schemas.microsoft.com/office/spreadsheetml/2009/9/main" objectType="CheckBox" fmlaLink="$D$19" lockText="1"/>
</file>

<file path=xl/ctrlProps/ctrlProp205.xml><?xml version="1.0" encoding="utf-8"?>
<formControlPr xmlns="http://schemas.microsoft.com/office/spreadsheetml/2009/9/main" objectType="CheckBox" fmlaLink="$D$20" lockText="1"/>
</file>

<file path=xl/ctrlProps/ctrlProp206.xml><?xml version="1.0" encoding="utf-8"?>
<formControlPr xmlns="http://schemas.microsoft.com/office/spreadsheetml/2009/9/main" objectType="CheckBox" fmlaLink="$D$26" lockText="1"/>
</file>

<file path=xl/ctrlProps/ctrlProp207.xml><?xml version="1.0" encoding="utf-8"?>
<formControlPr xmlns="http://schemas.microsoft.com/office/spreadsheetml/2009/9/main" objectType="CheckBox" fmlaLink="$D$27" lockText="1"/>
</file>

<file path=xl/ctrlProps/ctrlProp208.xml><?xml version="1.0" encoding="utf-8"?>
<formControlPr xmlns="http://schemas.microsoft.com/office/spreadsheetml/2009/9/main" objectType="CheckBox" fmlaLink="$D$28" lockText="1"/>
</file>

<file path=xl/ctrlProps/ctrlProp209.xml><?xml version="1.0" encoding="utf-8"?>
<formControlPr xmlns="http://schemas.microsoft.com/office/spreadsheetml/2009/9/main" objectType="CheckBox" fmlaLink="$D$29" lockText="1"/>
</file>

<file path=xl/ctrlProps/ctrlProp21.xml><?xml version="1.0" encoding="utf-8"?>
<formControlPr xmlns="http://schemas.microsoft.com/office/spreadsheetml/2009/9/main" objectType="CheckBox" fmlaLink="$B$10" lockText="1"/>
</file>

<file path=xl/ctrlProps/ctrlProp210.xml><?xml version="1.0" encoding="utf-8"?>
<formControlPr xmlns="http://schemas.microsoft.com/office/spreadsheetml/2009/9/main" objectType="CheckBox" fmlaLink="$D$30" lockText="1"/>
</file>

<file path=xl/ctrlProps/ctrlProp211.xml><?xml version="1.0" encoding="utf-8"?>
<formControlPr xmlns="http://schemas.microsoft.com/office/spreadsheetml/2009/9/main" objectType="CheckBox" fmlaLink="$D$31" lockText="1"/>
</file>

<file path=xl/ctrlProps/ctrlProp212.xml><?xml version="1.0" encoding="utf-8"?>
<formControlPr xmlns="http://schemas.microsoft.com/office/spreadsheetml/2009/9/main" objectType="CheckBox" fmlaLink="$D$32" lockText="1"/>
</file>

<file path=xl/ctrlProps/ctrlProp213.xml><?xml version="1.0" encoding="utf-8"?>
<formControlPr xmlns="http://schemas.microsoft.com/office/spreadsheetml/2009/9/main" objectType="CheckBox" fmlaLink="$D$33" lockText="1"/>
</file>

<file path=xl/ctrlProps/ctrlProp214.xml><?xml version="1.0" encoding="utf-8"?>
<formControlPr xmlns="http://schemas.microsoft.com/office/spreadsheetml/2009/9/main" objectType="CheckBox" fmlaLink="$D$34" lockText="1"/>
</file>

<file path=xl/ctrlProps/ctrlProp215.xml><?xml version="1.0" encoding="utf-8"?>
<formControlPr xmlns="http://schemas.microsoft.com/office/spreadsheetml/2009/9/main" objectType="CheckBox" fmlaLink="$D$35" lockText="1"/>
</file>

<file path=xl/ctrlProps/ctrlProp216.xml><?xml version="1.0" encoding="utf-8"?>
<formControlPr xmlns="http://schemas.microsoft.com/office/spreadsheetml/2009/9/main" objectType="CheckBox" fmlaLink="$D$36" lockText="1"/>
</file>

<file path=xl/ctrlProps/ctrlProp217.xml><?xml version="1.0" encoding="utf-8"?>
<formControlPr xmlns="http://schemas.microsoft.com/office/spreadsheetml/2009/9/main" objectType="CheckBox" fmlaLink="$D$37" lockText="1"/>
</file>

<file path=xl/ctrlProps/ctrlProp218.xml><?xml version="1.0" encoding="utf-8"?>
<formControlPr xmlns="http://schemas.microsoft.com/office/spreadsheetml/2009/9/main" objectType="CheckBox" fmlaLink="$D$38" lockText="1"/>
</file>

<file path=xl/ctrlProps/ctrlProp219.xml><?xml version="1.0" encoding="utf-8"?>
<formControlPr xmlns="http://schemas.microsoft.com/office/spreadsheetml/2009/9/main" objectType="CheckBox" fmlaLink="$D$39" lockText="1"/>
</file>

<file path=xl/ctrlProps/ctrlProp22.xml><?xml version="1.0" encoding="utf-8"?>
<formControlPr xmlns="http://schemas.microsoft.com/office/spreadsheetml/2009/9/main" objectType="CheckBox" fmlaLink="$B$11" lockText="1"/>
</file>

<file path=xl/ctrlProps/ctrlProp220.xml><?xml version="1.0" encoding="utf-8"?>
<formControlPr xmlns="http://schemas.microsoft.com/office/spreadsheetml/2009/9/main" objectType="CheckBox" fmlaLink="$D$40" lockText="1"/>
</file>

<file path=xl/ctrlProps/ctrlProp221.xml><?xml version="1.0" encoding="utf-8"?>
<formControlPr xmlns="http://schemas.microsoft.com/office/spreadsheetml/2009/9/main" objectType="CheckBox" fmlaLink="$D$42" lockText="1"/>
</file>

<file path=xl/ctrlProps/ctrlProp222.xml><?xml version="1.0" encoding="utf-8"?>
<formControlPr xmlns="http://schemas.microsoft.com/office/spreadsheetml/2009/9/main" objectType="CheckBox" fmlaLink="$D$23" lockText="1"/>
</file>

<file path=xl/ctrlProps/ctrlProp223.xml><?xml version="1.0" encoding="utf-8"?>
<formControlPr xmlns="http://schemas.microsoft.com/office/spreadsheetml/2009/9/main" objectType="CheckBox" fmlaLink="$D$10" lockText="1"/>
</file>

<file path=xl/ctrlProps/ctrlProp224.xml><?xml version="1.0" encoding="utf-8"?>
<formControlPr xmlns="http://schemas.microsoft.com/office/spreadsheetml/2009/9/main" objectType="CheckBox" fmlaLink="#REF!" lockText="1"/>
</file>

<file path=xl/ctrlProps/ctrlProp225.xml><?xml version="1.0" encoding="utf-8"?>
<formControlPr xmlns="http://schemas.microsoft.com/office/spreadsheetml/2009/9/main" objectType="CheckBox" fmlaLink="$D$46" lockText="1"/>
</file>

<file path=xl/ctrlProps/ctrlProp226.xml><?xml version="1.0" encoding="utf-8"?>
<formControlPr xmlns="http://schemas.microsoft.com/office/spreadsheetml/2009/9/main" objectType="CheckBox" fmlaLink="$D$42" lockText="1"/>
</file>

<file path=xl/ctrlProps/ctrlProp227.xml><?xml version="1.0" encoding="utf-8"?>
<formControlPr xmlns="http://schemas.microsoft.com/office/spreadsheetml/2009/9/main" objectType="CheckBox" fmlaLink="$D$23" lockText="1"/>
</file>

<file path=xl/ctrlProps/ctrlProp228.xml><?xml version="1.0" encoding="utf-8"?>
<formControlPr xmlns="http://schemas.microsoft.com/office/spreadsheetml/2009/9/main" objectType="CheckBox" fmlaLink="$D$10" lockText="1"/>
</file>

<file path=xl/ctrlProps/ctrlProp229.xml><?xml version="1.0" encoding="utf-8"?>
<formControlPr xmlns="http://schemas.microsoft.com/office/spreadsheetml/2009/9/main" objectType="CheckBox" fmlaLink="#REF!" lockText="1"/>
</file>

<file path=xl/ctrlProps/ctrlProp23.xml><?xml version="1.0" encoding="utf-8"?>
<formControlPr xmlns="http://schemas.microsoft.com/office/spreadsheetml/2009/9/main" objectType="CheckBox" fmlaLink="$B$12" lockText="1"/>
</file>

<file path=xl/ctrlProps/ctrlProp230.xml><?xml version="1.0" encoding="utf-8"?>
<formControlPr xmlns="http://schemas.microsoft.com/office/spreadsheetml/2009/9/main" objectType="CheckBox" fmlaLink="$D$47" lockText="1"/>
</file>

<file path=xl/ctrlProps/ctrlProp231.xml><?xml version="1.0" encoding="utf-8"?>
<formControlPr xmlns="http://schemas.microsoft.com/office/spreadsheetml/2009/9/main" objectType="CheckBox" fmlaLink="$D$42" lockText="1"/>
</file>

<file path=xl/ctrlProps/ctrlProp232.xml><?xml version="1.0" encoding="utf-8"?>
<formControlPr xmlns="http://schemas.microsoft.com/office/spreadsheetml/2009/9/main" objectType="CheckBox" fmlaLink="$D$23" lockText="1"/>
</file>

<file path=xl/ctrlProps/ctrlProp233.xml><?xml version="1.0" encoding="utf-8"?>
<formControlPr xmlns="http://schemas.microsoft.com/office/spreadsheetml/2009/9/main" objectType="CheckBox" fmlaLink="$D$10" lockText="1"/>
</file>

<file path=xl/ctrlProps/ctrlProp234.xml><?xml version="1.0" encoding="utf-8"?>
<formControlPr xmlns="http://schemas.microsoft.com/office/spreadsheetml/2009/9/main" objectType="CheckBox" fmlaLink="#REF!" lockText="1"/>
</file>

<file path=xl/ctrlProps/ctrlProp235.xml><?xml version="1.0" encoding="utf-8"?>
<formControlPr xmlns="http://schemas.microsoft.com/office/spreadsheetml/2009/9/main" objectType="CheckBox" fmlaLink="$D$48" lockText="1"/>
</file>

<file path=xl/ctrlProps/ctrlProp236.xml><?xml version="1.0" encoding="utf-8"?>
<formControlPr xmlns="http://schemas.microsoft.com/office/spreadsheetml/2009/9/main" objectType="CheckBox" fmlaLink="$D$42" lockText="1"/>
</file>

<file path=xl/ctrlProps/ctrlProp237.xml><?xml version="1.0" encoding="utf-8"?>
<formControlPr xmlns="http://schemas.microsoft.com/office/spreadsheetml/2009/9/main" objectType="CheckBox" fmlaLink="$D$23" lockText="1"/>
</file>

<file path=xl/ctrlProps/ctrlProp238.xml><?xml version="1.0" encoding="utf-8"?>
<formControlPr xmlns="http://schemas.microsoft.com/office/spreadsheetml/2009/9/main" objectType="CheckBox" fmlaLink="$D$10" lockText="1"/>
</file>

<file path=xl/ctrlProps/ctrlProp239.xml><?xml version="1.0" encoding="utf-8"?>
<formControlPr xmlns="http://schemas.microsoft.com/office/spreadsheetml/2009/9/main" objectType="CheckBox" fmlaLink="#REF!" lockText="1"/>
</file>

<file path=xl/ctrlProps/ctrlProp24.xml><?xml version="1.0" encoding="utf-8"?>
<formControlPr xmlns="http://schemas.microsoft.com/office/spreadsheetml/2009/9/main" objectType="CheckBox" fmlaLink="$B$13" lockText="1"/>
</file>

<file path=xl/ctrlProps/ctrlProp240.xml><?xml version="1.0" encoding="utf-8"?>
<formControlPr xmlns="http://schemas.microsoft.com/office/spreadsheetml/2009/9/main" objectType="CheckBox" fmlaLink="$D$49" lockText="1"/>
</file>

<file path=xl/ctrlProps/ctrlProp241.xml><?xml version="1.0" encoding="utf-8"?>
<formControlPr xmlns="http://schemas.microsoft.com/office/spreadsheetml/2009/9/main" objectType="CheckBox" fmlaLink="$D$42" lockText="1"/>
</file>

<file path=xl/ctrlProps/ctrlProp242.xml><?xml version="1.0" encoding="utf-8"?>
<formControlPr xmlns="http://schemas.microsoft.com/office/spreadsheetml/2009/9/main" objectType="CheckBox" fmlaLink="$D$23" lockText="1"/>
</file>

<file path=xl/ctrlProps/ctrlProp243.xml><?xml version="1.0" encoding="utf-8"?>
<formControlPr xmlns="http://schemas.microsoft.com/office/spreadsheetml/2009/9/main" objectType="CheckBox" fmlaLink="$D$10" lockText="1"/>
</file>

<file path=xl/ctrlProps/ctrlProp244.xml><?xml version="1.0" encoding="utf-8"?>
<formControlPr xmlns="http://schemas.microsoft.com/office/spreadsheetml/2009/9/main" objectType="CheckBox" fmlaLink="#REF!" lockText="1"/>
</file>

<file path=xl/ctrlProps/ctrlProp245.xml><?xml version="1.0" encoding="utf-8"?>
<formControlPr xmlns="http://schemas.microsoft.com/office/spreadsheetml/2009/9/main" objectType="CheckBox" fmlaLink="$D$50" lockText="1"/>
</file>

<file path=xl/ctrlProps/ctrlProp246.xml><?xml version="1.0" encoding="utf-8"?>
<formControlPr xmlns="http://schemas.microsoft.com/office/spreadsheetml/2009/9/main" objectType="CheckBox" fmlaLink="$D$42" lockText="1"/>
</file>

<file path=xl/ctrlProps/ctrlProp247.xml><?xml version="1.0" encoding="utf-8"?>
<formControlPr xmlns="http://schemas.microsoft.com/office/spreadsheetml/2009/9/main" objectType="CheckBox" fmlaLink="$D$23" lockText="1"/>
</file>

<file path=xl/ctrlProps/ctrlProp248.xml><?xml version="1.0" encoding="utf-8"?>
<formControlPr xmlns="http://schemas.microsoft.com/office/spreadsheetml/2009/9/main" objectType="CheckBox" fmlaLink="$D$10" lockText="1"/>
</file>

<file path=xl/ctrlProps/ctrlProp249.xml><?xml version="1.0" encoding="utf-8"?>
<formControlPr xmlns="http://schemas.microsoft.com/office/spreadsheetml/2009/9/main" objectType="CheckBox" fmlaLink="#REF!" lockText="1"/>
</file>

<file path=xl/ctrlProps/ctrlProp25.xml><?xml version="1.0" encoding="utf-8"?>
<formControlPr xmlns="http://schemas.microsoft.com/office/spreadsheetml/2009/9/main" objectType="CheckBox" fmlaLink="$B$14" lockText="1"/>
</file>

<file path=xl/ctrlProps/ctrlProp250.xml><?xml version="1.0" encoding="utf-8"?>
<formControlPr xmlns="http://schemas.microsoft.com/office/spreadsheetml/2009/9/main" objectType="CheckBox" fmlaLink="$D$51" lockText="1"/>
</file>

<file path=xl/ctrlProps/ctrlProp251.xml><?xml version="1.0" encoding="utf-8"?>
<formControlPr xmlns="http://schemas.microsoft.com/office/spreadsheetml/2009/9/main" objectType="CheckBox" fmlaLink="$D$42" lockText="1"/>
</file>

<file path=xl/ctrlProps/ctrlProp252.xml><?xml version="1.0" encoding="utf-8"?>
<formControlPr xmlns="http://schemas.microsoft.com/office/spreadsheetml/2009/9/main" objectType="CheckBox" fmlaLink="$D$23" lockText="1"/>
</file>

<file path=xl/ctrlProps/ctrlProp253.xml><?xml version="1.0" encoding="utf-8"?>
<formControlPr xmlns="http://schemas.microsoft.com/office/spreadsheetml/2009/9/main" objectType="CheckBox" fmlaLink="$D$10" lockText="1"/>
</file>

<file path=xl/ctrlProps/ctrlProp254.xml><?xml version="1.0" encoding="utf-8"?>
<formControlPr xmlns="http://schemas.microsoft.com/office/spreadsheetml/2009/9/main" objectType="CheckBox" fmlaLink="#REF!" lockText="1"/>
</file>

<file path=xl/ctrlProps/ctrlProp255.xml><?xml version="1.0" encoding="utf-8"?>
<formControlPr xmlns="http://schemas.microsoft.com/office/spreadsheetml/2009/9/main" objectType="CheckBox" fmlaLink="$D$52" lockText="1"/>
</file>

<file path=xl/ctrlProps/ctrlProp256.xml><?xml version="1.0" encoding="utf-8"?>
<formControlPr xmlns="http://schemas.microsoft.com/office/spreadsheetml/2009/9/main" objectType="CheckBox" fmlaLink="$D$42" lockText="1"/>
</file>

<file path=xl/ctrlProps/ctrlProp257.xml><?xml version="1.0" encoding="utf-8"?>
<formControlPr xmlns="http://schemas.microsoft.com/office/spreadsheetml/2009/9/main" objectType="CheckBox" fmlaLink="$D$23" lockText="1"/>
</file>

<file path=xl/ctrlProps/ctrlProp258.xml><?xml version="1.0" encoding="utf-8"?>
<formControlPr xmlns="http://schemas.microsoft.com/office/spreadsheetml/2009/9/main" objectType="CheckBox" fmlaLink="$D$10" lockText="1"/>
</file>

<file path=xl/ctrlProps/ctrlProp259.xml><?xml version="1.0" encoding="utf-8"?>
<formControlPr xmlns="http://schemas.microsoft.com/office/spreadsheetml/2009/9/main" objectType="CheckBox" fmlaLink="#REF!" lockText="1"/>
</file>

<file path=xl/ctrlProps/ctrlProp26.xml><?xml version="1.0" encoding="utf-8"?>
<formControlPr xmlns="http://schemas.microsoft.com/office/spreadsheetml/2009/9/main" objectType="CheckBox" fmlaLink="$B$15" lockText="1"/>
</file>

<file path=xl/ctrlProps/ctrlProp260.xml><?xml version="1.0" encoding="utf-8"?>
<formControlPr xmlns="http://schemas.microsoft.com/office/spreadsheetml/2009/9/main" objectType="CheckBox" fmlaLink="$D$53" lockText="1"/>
</file>

<file path=xl/ctrlProps/ctrlProp261.xml><?xml version="1.0" encoding="utf-8"?>
<formControlPr xmlns="http://schemas.microsoft.com/office/spreadsheetml/2009/9/main" objectType="CheckBox" fmlaLink="$D$42" lockText="1"/>
</file>

<file path=xl/ctrlProps/ctrlProp262.xml><?xml version="1.0" encoding="utf-8"?>
<formControlPr xmlns="http://schemas.microsoft.com/office/spreadsheetml/2009/9/main" objectType="CheckBox" fmlaLink="$D$23" lockText="1"/>
</file>

<file path=xl/ctrlProps/ctrlProp263.xml><?xml version="1.0" encoding="utf-8"?>
<formControlPr xmlns="http://schemas.microsoft.com/office/spreadsheetml/2009/9/main" objectType="CheckBox" fmlaLink="$D$10" lockText="1"/>
</file>

<file path=xl/ctrlProps/ctrlProp264.xml><?xml version="1.0" encoding="utf-8"?>
<formControlPr xmlns="http://schemas.microsoft.com/office/spreadsheetml/2009/9/main" objectType="CheckBox" fmlaLink="#REF!" lockText="1"/>
</file>

<file path=xl/ctrlProps/ctrlProp265.xml><?xml version="1.0" encoding="utf-8"?>
<formControlPr xmlns="http://schemas.microsoft.com/office/spreadsheetml/2009/9/main" objectType="CheckBox" fmlaLink="$D$54" lockText="1"/>
</file>

<file path=xl/ctrlProps/ctrlProp266.xml><?xml version="1.0" encoding="utf-8"?>
<formControlPr xmlns="http://schemas.microsoft.com/office/spreadsheetml/2009/9/main" objectType="CheckBox" fmlaLink="$D$42" lockText="1"/>
</file>

<file path=xl/ctrlProps/ctrlProp267.xml><?xml version="1.0" encoding="utf-8"?>
<formControlPr xmlns="http://schemas.microsoft.com/office/spreadsheetml/2009/9/main" objectType="CheckBox" fmlaLink="$D$23" lockText="1"/>
</file>

<file path=xl/ctrlProps/ctrlProp268.xml><?xml version="1.0" encoding="utf-8"?>
<formControlPr xmlns="http://schemas.microsoft.com/office/spreadsheetml/2009/9/main" objectType="CheckBox" fmlaLink="$D$10" lockText="1"/>
</file>

<file path=xl/ctrlProps/ctrlProp269.xml><?xml version="1.0" encoding="utf-8"?>
<formControlPr xmlns="http://schemas.microsoft.com/office/spreadsheetml/2009/9/main" objectType="CheckBox" fmlaLink="#REF!" lockText="1"/>
</file>

<file path=xl/ctrlProps/ctrlProp27.xml><?xml version="1.0" encoding="utf-8"?>
<formControlPr xmlns="http://schemas.microsoft.com/office/spreadsheetml/2009/9/main" objectType="CheckBox" fmlaLink="$B$16" lockText="1"/>
</file>

<file path=xl/ctrlProps/ctrlProp270.xml><?xml version="1.0" encoding="utf-8"?>
<formControlPr xmlns="http://schemas.microsoft.com/office/spreadsheetml/2009/9/main" objectType="CheckBox" fmlaLink="$D$55" lockText="1"/>
</file>

<file path=xl/ctrlProps/ctrlProp271.xml><?xml version="1.0" encoding="utf-8"?>
<formControlPr xmlns="http://schemas.microsoft.com/office/spreadsheetml/2009/9/main" objectType="CheckBox" fmlaLink="$D$42" lockText="1"/>
</file>

<file path=xl/ctrlProps/ctrlProp272.xml><?xml version="1.0" encoding="utf-8"?>
<formControlPr xmlns="http://schemas.microsoft.com/office/spreadsheetml/2009/9/main" objectType="CheckBox" fmlaLink="$D$23" lockText="1"/>
</file>

<file path=xl/ctrlProps/ctrlProp273.xml><?xml version="1.0" encoding="utf-8"?>
<formControlPr xmlns="http://schemas.microsoft.com/office/spreadsheetml/2009/9/main" objectType="CheckBox" fmlaLink="$D$10" lockText="1"/>
</file>

<file path=xl/ctrlProps/ctrlProp274.xml><?xml version="1.0" encoding="utf-8"?>
<formControlPr xmlns="http://schemas.microsoft.com/office/spreadsheetml/2009/9/main" objectType="CheckBox" fmlaLink="#REF!" lockText="1"/>
</file>

<file path=xl/ctrlProps/ctrlProp275.xml><?xml version="1.0" encoding="utf-8"?>
<formControlPr xmlns="http://schemas.microsoft.com/office/spreadsheetml/2009/9/main" objectType="CheckBox" fmlaLink="$D$56" lockText="1"/>
</file>

<file path=xl/ctrlProps/ctrlProp276.xml><?xml version="1.0" encoding="utf-8"?>
<formControlPr xmlns="http://schemas.microsoft.com/office/spreadsheetml/2009/9/main" objectType="CheckBox" fmlaLink="$D$42" lockText="1"/>
</file>

<file path=xl/ctrlProps/ctrlProp277.xml><?xml version="1.0" encoding="utf-8"?>
<formControlPr xmlns="http://schemas.microsoft.com/office/spreadsheetml/2009/9/main" objectType="CheckBox" fmlaLink="$D$23" lockText="1"/>
</file>

<file path=xl/ctrlProps/ctrlProp278.xml><?xml version="1.0" encoding="utf-8"?>
<formControlPr xmlns="http://schemas.microsoft.com/office/spreadsheetml/2009/9/main" objectType="CheckBox" fmlaLink="$D$10" lockText="1"/>
</file>

<file path=xl/ctrlProps/ctrlProp279.xml><?xml version="1.0" encoding="utf-8"?>
<formControlPr xmlns="http://schemas.microsoft.com/office/spreadsheetml/2009/9/main" objectType="CheckBox" fmlaLink="#REF!" lockText="1"/>
</file>

<file path=xl/ctrlProps/ctrlProp28.xml><?xml version="1.0" encoding="utf-8"?>
<formControlPr xmlns="http://schemas.microsoft.com/office/spreadsheetml/2009/9/main" objectType="CheckBox" fmlaLink="$B$17" lockText="1"/>
</file>

<file path=xl/ctrlProps/ctrlProp280.xml><?xml version="1.0" encoding="utf-8"?>
<formControlPr xmlns="http://schemas.microsoft.com/office/spreadsheetml/2009/9/main" objectType="CheckBox" fmlaLink="$D$57" lockText="1"/>
</file>

<file path=xl/ctrlProps/ctrlProp281.xml><?xml version="1.0" encoding="utf-8"?>
<formControlPr xmlns="http://schemas.microsoft.com/office/spreadsheetml/2009/9/main" objectType="CheckBox" fmlaLink="$D$42" lockText="1"/>
</file>

<file path=xl/ctrlProps/ctrlProp282.xml><?xml version="1.0" encoding="utf-8"?>
<formControlPr xmlns="http://schemas.microsoft.com/office/spreadsheetml/2009/9/main" objectType="CheckBox" fmlaLink="$D$23" lockText="1"/>
</file>

<file path=xl/ctrlProps/ctrlProp283.xml><?xml version="1.0" encoding="utf-8"?>
<formControlPr xmlns="http://schemas.microsoft.com/office/spreadsheetml/2009/9/main" objectType="CheckBox" fmlaLink="$D$10" lockText="1"/>
</file>

<file path=xl/ctrlProps/ctrlProp284.xml><?xml version="1.0" encoding="utf-8"?>
<formControlPr xmlns="http://schemas.microsoft.com/office/spreadsheetml/2009/9/main" objectType="CheckBox" fmlaLink="#REF!" lockText="1"/>
</file>

<file path=xl/ctrlProps/ctrlProp285.xml><?xml version="1.0" encoding="utf-8"?>
<formControlPr xmlns="http://schemas.microsoft.com/office/spreadsheetml/2009/9/main" objectType="CheckBox" fmlaLink="$D$58" lockText="1"/>
</file>

<file path=xl/ctrlProps/ctrlProp286.xml><?xml version="1.0" encoding="utf-8"?>
<formControlPr xmlns="http://schemas.microsoft.com/office/spreadsheetml/2009/9/main" objectType="CheckBox" fmlaLink="$D$42" lockText="1"/>
</file>

<file path=xl/ctrlProps/ctrlProp287.xml><?xml version="1.0" encoding="utf-8"?>
<formControlPr xmlns="http://schemas.microsoft.com/office/spreadsheetml/2009/9/main" objectType="CheckBox" fmlaLink="$D$23" lockText="1"/>
</file>

<file path=xl/ctrlProps/ctrlProp288.xml><?xml version="1.0" encoding="utf-8"?>
<formControlPr xmlns="http://schemas.microsoft.com/office/spreadsheetml/2009/9/main" objectType="CheckBox" fmlaLink="$D$10" lockText="1"/>
</file>

<file path=xl/ctrlProps/ctrlProp289.xml><?xml version="1.0" encoding="utf-8"?>
<formControlPr xmlns="http://schemas.microsoft.com/office/spreadsheetml/2009/9/main" objectType="CheckBox" fmlaLink="#REF!" lockText="1"/>
</file>

<file path=xl/ctrlProps/ctrlProp29.xml><?xml version="1.0" encoding="utf-8"?>
<formControlPr xmlns="http://schemas.microsoft.com/office/spreadsheetml/2009/9/main" objectType="CheckBox" fmlaLink="$B$18" lockText="1"/>
</file>

<file path=xl/ctrlProps/ctrlProp290.xml><?xml version="1.0" encoding="utf-8"?>
<formControlPr xmlns="http://schemas.microsoft.com/office/spreadsheetml/2009/9/main" objectType="CheckBox" fmlaLink="$D$59" lockText="1"/>
</file>

<file path=xl/ctrlProps/ctrlProp291.xml><?xml version="1.0" encoding="utf-8"?>
<formControlPr xmlns="http://schemas.microsoft.com/office/spreadsheetml/2009/9/main" objectType="CheckBox" fmlaLink="$D$42" lockText="1"/>
</file>

<file path=xl/ctrlProps/ctrlProp292.xml><?xml version="1.0" encoding="utf-8"?>
<formControlPr xmlns="http://schemas.microsoft.com/office/spreadsheetml/2009/9/main" objectType="CheckBox" fmlaLink="$D$23" lockText="1"/>
</file>

<file path=xl/ctrlProps/ctrlProp293.xml><?xml version="1.0" encoding="utf-8"?>
<formControlPr xmlns="http://schemas.microsoft.com/office/spreadsheetml/2009/9/main" objectType="CheckBox" fmlaLink="$D$10" lockText="1"/>
</file>

<file path=xl/ctrlProps/ctrlProp294.xml><?xml version="1.0" encoding="utf-8"?>
<formControlPr xmlns="http://schemas.microsoft.com/office/spreadsheetml/2009/9/main" objectType="CheckBox" fmlaLink="#REF!" lockText="1"/>
</file>

<file path=xl/ctrlProps/ctrlProp295.xml><?xml version="1.0" encoding="utf-8"?>
<formControlPr xmlns="http://schemas.microsoft.com/office/spreadsheetml/2009/9/main" objectType="CheckBox" fmlaLink="$D$60" lockText="1"/>
</file>

<file path=xl/ctrlProps/ctrlProp296.xml><?xml version="1.0" encoding="utf-8"?>
<formControlPr xmlns="http://schemas.microsoft.com/office/spreadsheetml/2009/9/main" objectType="CheckBox" fmlaLink="$C$9" lockText="1"/>
</file>

<file path=xl/ctrlProps/ctrlProp297.xml><?xml version="1.0" encoding="utf-8"?>
<formControlPr xmlns="http://schemas.microsoft.com/office/spreadsheetml/2009/9/main" objectType="CheckBox" fmlaLink="$C$12" lockText="1"/>
</file>

<file path=xl/ctrlProps/ctrlProp298.xml><?xml version="1.0" encoding="utf-8"?>
<formControlPr xmlns="http://schemas.microsoft.com/office/spreadsheetml/2009/9/main" objectType="CheckBox" fmlaLink="$C$16" lockText="1"/>
</file>

<file path=xl/ctrlProps/ctrlProp299.xml><?xml version="1.0" encoding="utf-8"?>
<formControlPr xmlns="http://schemas.microsoft.com/office/spreadsheetml/2009/9/main" objectType="CheckBox" fmlaLink="$C$17" lockText="1"/>
</file>

<file path=xl/ctrlProps/ctrlProp3.xml><?xml version="1.0" encoding="utf-8"?>
<formControlPr xmlns="http://schemas.microsoft.com/office/spreadsheetml/2009/9/main" objectType="CheckBox" fmlaLink="$B$42" lockText="1"/>
</file>

<file path=xl/ctrlProps/ctrlProp30.xml><?xml version="1.0" encoding="utf-8"?>
<formControlPr xmlns="http://schemas.microsoft.com/office/spreadsheetml/2009/9/main" objectType="CheckBox" fmlaLink="$B$19" lockText="1"/>
</file>

<file path=xl/ctrlProps/ctrlProp300.xml><?xml version="1.0" encoding="utf-8"?>
<formControlPr xmlns="http://schemas.microsoft.com/office/spreadsheetml/2009/9/main" objectType="CheckBox" fmlaLink="$C$20" lockText="1"/>
</file>

<file path=xl/ctrlProps/ctrlProp301.xml><?xml version="1.0" encoding="utf-8"?>
<formControlPr xmlns="http://schemas.microsoft.com/office/spreadsheetml/2009/9/main" objectType="CheckBox" fmlaLink="$C$21" lockText="1"/>
</file>

<file path=xl/ctrlProps/ctrlProp302.xml><?xml version="1.0" encoding="utf-8"?>
<formControlPr xmlns="http://schemas.microsoft.com/office/spreadsheetml/2009/9/main" objectType="CheckBox" fmlaLink="$C$22" lockText="1"/>
</file>

<file path=xl/ctrlProps/ctrlProp303.xml><?xml version="1.0" encoding="utf-8"?>
<formControlPr xmlns="http://schemas.microsoft.com/office/spreadsheetml/2009/9/main" objectType="CheckBox" fmlaLink="$C$23" lockText="1"/>
</file>

<file path=xl/ctrlProps/ctrlProp304.xml><?xml version="1.0" encoding="utf-8"?>
<formControlPr xmlns="http://schemas.microsoft.com/office/spreadsheetml/2009/9/main" objectType="CheckBox" fmlaLink="$C$14" lockText="1"/>
</file>

<file path=xl/ctrlProps/ctrlProp305.xml><?xml version="1.0" encoding="utf-8"?>
<formControlPr xmlns="http://schemas.microsoft.com/office/spreadsheetml/2009/9/main" objectType="CheckBox" fmlaLink="$D$8" lockText="1"/>
</file>

<file path=xl/ctrlProps/ctrlProp306.xml><?xml version="1.0" encoding="utf-8"?>
<formControlPr xmlns="http://schemas.microsoft.com/office/spreadsheetml/2009/9/main" objectType="CheckBox" fmlaLink="$D$8" lockText="1"/>
</file>

<file path=xl/ctrlProps/ctrlProp307.xml><?xml version="1.0" encoding="utf-8"?>
<formControlPr xmlns="http://schemas.microsoft.com/office/spreadsheetml/2009/9/main" objectType="CheckBox" fmlaLink="$D$8" lockText="1"/>
</file>

<file path=xl/ctrlProps/ctrlProp308.xml><?xml version="1.0" encoding="utf-8"?>
<formControlPr xmlns="http://schemas.microsoft.com/office/spreadsheetml/2009/9/main" objectType="CheckBox" fmlaLink="$D$8" lockText="1"/>
</file>

<file path=xl/ctrlProps/ctrlProp309.xml><?xml version="1.0" encoding="utf-8"?>
<formControlPr xmlns="http://schemas.microsoft.com/office/spreadsheetml/2009/9/main" objectType="CheckBox" fmlaLink="$D$8" lockText="1"/>
</file>

<file path=xl/ctrlProps/ctrlProp31.xml><?xml version="1.0" encoding="utf-8"?>
<formControlPr xmlns="http://schemas.microsoft.com/office/spreadsheetml/2009/9/main" objectType="CheckBox" fmlaLink="$B$20" lockText="1"/>
</file>

<file path=xl/ctrlProps/ctrlProp310.xml><?xml version="1.0" encoding="utf-8"?>
<formControlPr xmlns="http://schemas.microsoft.com/office/spreadsheetml/2009/9/main" objectType="CheckBox" fmlaLink="$D$23" lockText="1"/>
</file>

<file path=xl/ctrlProps/ctrlProp311.xml><?xml version="1.0" encoding="utf-8"?>
<formControlPr xmlns="http://schemas.microsoft.com/office/spreadsheetml/2009/9/main" objectType="CheckBox" fmlaLink="$D$8" lockText="1" noThreeD="1"/>
</file>

<file path=xl/ctrlProps/ctrlProp312.xml><?xml version="1.0" encoding="utf-8"?>
<formControlPr xmlns="http://schemas.microsoft.com/office/spreadsheetml/2009/9/main" objectType="CheckBox" fmlaLink="D23" lockText="1" noThreeD="1"/>
</file>

<file path=xl/ctrlProps/ctrlProp313.xml><?xml version="1.0" encoding="utf-8"?>
<formControlPr xmlns="http://schemas.microsoft.com/office/spreadsheetml/2009/9/main" objectType="CheckBox" fmlaLink="$D$79" lockText="1" noThreeD="1"/>
</file>

<file path=xl/ctrlProps/ctrlProp314.xml><?xml version="1.0" encoding="utf-8"?>
<formControlPr xmlns="http://schemas.microsoft.com/office/spreadsheetml/2009/9/main" objectType="CheckBox" fmlaLink="$D$81" lockText="1" noThreeD="1"/>
</file>

<file path=xl/ctrlProps/ctrlProp315.xml><?xml version="1.0" encoding="utf-8"?>
<formControlPr xmlns="http://schemas.microsoft.com/office/spreadsheetml/2009/9/main" objectType="CheckBox" fmlaLink="$D$82" lockText="1" noThreeD="1"/>
</file>

<file path=xl/ctrlProps/ctrlProp316.xml><?xml version="1.0" encoding="utf-8"?>
<formControlPr xmlns="http://schemas.microsoft.com/office/spreadsheetml/2009/9/main" objectType="CheckBox" fmlaLink="$D$83" lockText="1" noThreeD="1"/>
</file>

<file path=xl/ctrlProps/ctrlProp317.xml><?xml version="1.0" encoding="utf-8"?>
<formControlPr xmlns="http://schemas.microsoft.com/office/spreadsheetml/2009/9/main" objectType="CheckBox" fmlaLink="$D$84" lockText="1" noThreeD="1"/>
</file>

<file path=xl/ctrlProps/ctrlProp318.xml><?xml version="1.0" encoding="utf-8"?>
<formControlPr xmlns="http://schemas.microsoft.com/office/spreadsheetml/2009/9/main" objectType="CheckBox" fmlaLink="$D$86" lockText="1" noThreeD="1"/>
</file>

<file path=xl/ctrlProps/ctrlProp319.xml><?xml version="1.0" encoding="utf-8"?>
<formControlPr xmlns="http://schemas.microsoft.com/office/spreadsheetml/2009/9/main" objectType="CheckBox" fmlaLink="$D$87" lockText="1" noThreeD="1"/>
</file>

<file path=xl/ctrlProps/ctrlProp32.xml><?xml version="1.0" encoding="utf-8"?>
<formControlPr xmlns="http://schemas.microsoft.com/office/spreadsheetml/2009/9/main" objectType="CheckBox" fmlaLink="$B$21" lockText="1"/>
</file>

<file path=xl/ctrlProps/ctrlProp320.xml><?xml version="1.0" encoding="utf-8"?>
<formControlPr xmlns="http://schemas.microsoft.com/office/spreadsheetml/2009/9/main" objectType="CheckBox" fmlaLink="$D$88" lockText="1" noThreeD="1"/>
</file>

<file path=xl/ctrlProps/ctrlProp321.xml><?xml version="1.0" encoding="utf-8"?>
<formControlPr xmlns="http://schemas.microsoft.com/office/spreadsheetml/2009/9/main" objectType="CheckBox" fmlaLink="$D$89" lockText="1" noThreeD="1"/>
</file>

<file path=xl/ctrlProps/ctrlProp322.xml><?xml version="1.0" encoding="utf-8"?>
<formControlPr xmlns="http://schemas.microsoft.com/office/spreadsheetml/2009/9/main" objectType="CheckBox" fmlaLink="D9" lockText="1" noThreeD="1"/>
</file>

<file path=xl/ctrlProps/ctrlProp323.xml><?xml version="1.0" encoding="utf-8"?>
<formControlPr xmlns="http://schemas.microsoft.com/office/spreadsheetml/2009/9/main" objectType="CheckBox" fmlaLink="D13" lockText="1" noThreeD="1"/>
</file>

<file path=xl/ctrlProps/ctrlProp324.xml><?xml version="1.0" encoding="utf-8"?>
<formControlPr xmlns="http://schemas.microsoft.com/office/spreadsheetml/2009/9/main" objectType="CheckBox" fmlaLink="D16" lockText="1" noThreeD="1"/>
</file>

<file path=xl/ctrlProps/ctrlProp325.xml><?xml version="1.0" encoding="utf-8"?>
<formControlPr xmlns="http://schemas.microsoft.com/office/spreadsheetml/2009/9/main" objectType="CheckBox" fmlaLink="D29" lockText="1" noThreeD="1"/>
</file>

<file path=xl/ctrlProps/ctrlProp326.xml><?xml version="1.0" encoding="utf-8"?>
<formControlPr xmlns="http://schemas.microsoft.com/office/spreadsheetml/2009/9/main" objectType="CheckBox" fmlaLink="D65" lockText="1" noThreeD="1"/>
</file>

<file path=xl/ctrlProps/ctrlProp327.xml><?xml version="1.0" encoding="utf-8"?>
<formControlPr xmlns="http://schemas.microsoft.com/office/spreadsheetml/2009/9/main" objectType="CheckBox" fmlaLink="D67" lockText="1" noThreeD="1"/>
</file>

<file path=xl/ctrlProps/ctrlProp328.xml><?xml version="1.0" encoding="utf-8"?>
<formControlPr xmlns="http://schemas.microsoft.com/office/spreadsheetml/2009/9/main" objectType="CheckBox" fmlaLink="D92" lockText="1" noThreeD="1"/>
</file>

<file path=xl/ctrlProps/ctrlProp329.xml><?xml version="1.0" encoding="utf-8"?>
<formControlPr xmlns="http://schemas.microsoft.com/office/spreadsheetml/2009/9/main" objectType="CheckBox" fmlaLink="D93" lockText="1" noThreeD="1"/>
</file>

<file path=xl/ctrlProps/ctrlProp33.xml><?xml version="1.0" encoding="utf-8"?>
<formControlPr xmlns="http://schemas.microsoft.com/office/spreadsheetml/2009/9/main" objectType="CheckBox" fmlaLink="$B$22" lockText="1"/>
</file>

<file path=xl/ctrlProps/ctrlProp330.xml><?xml version="1.0" encoding="utf-8"?>
<formControlPr xmlns="http://schemas.microsoft.com/office/spreadsheetml/2009/9/main" objectType="CheckBox" fmlaLink="D94" lockText="1" noThreeD="1"/>
</file>

<file path=xl/ctrlProps/ctrlProp331.xml><?xml version="1.0" encoding="utf-8"?>
<formControlPr xmlns="http://schemas.microsoft.com/office/spreadsheetml/2009/9/main" objectType="CheckBox" fmlaLink="D95" lockText="1" noThreeD="1"/>
</file>

<file path=xl/ctrlProps/ctrlProp332.xml><?xml version="1.0" encoding="utf-8"?>
<formControlPr xmlns="http://schemas.microsoft.com/office/spreadsheetml/2009/9/main" objectType="CheckBox" fmlaLink="$C$9" lockText="1"/>
</file>

<file path=xl/ctrlProps/ctrlProp333.xml><?xml version="1.0" encoding="utf-8"?>
<formControlPr xmlns="http://schemas.microsoft.com/office/spreadsheetml/2009/9/main" objectType="CheckBox" fmlaLink="$C$11" lockText="1"/>
</file>

<file path=xl/ctrlProps/ctrlProp334.xml><?xml version="1.0" encoding="utf-8"?>
<formControlPr xmlns="http://schemas.microsoft.com/office/spreadsheetml/2009/9/main" objectType="CheckBox" fmlaLink="$C$12" lockText="1"/>
</file>

<file path=xl/ctrlProps/ctrlProp335.xml><?xml version="1.0" encoding="utf-8"?>
<formControlPr xmlns="http://schemas.microsoft.com/office/spreadsheetml/2009/9/main" objectType="CheckBox" fmlaLink="$C$14" lockText="1"/>
</file>

<file path=xl/ctrlProps/ctrlProp336.xml><?xml version="1.0" encoding="utf-8"?>
<formControlPr xmlns="http://schemas.microsoft.com/office/spreadsheetml/2009/9/main" objectType="CheckBox" fmlaLink="$C$15" lockText="1"/>
</file>

<file path=xl/ctrlProps/ctrlProp337.xml><?xml version="1.0" encoding="utf-8"?>
<formControlPr xmlns="http://schemas.microsoft.com/office/spreadsheetml/2009/9/main" objectType="CheckBox" fmlaLink="$C$18" lockText="1"/>
</file>

<file path=xl/ctrlProps/ctrlProp338.xml><?xml version="1.0" encoding="utf-8"?>
<formControlPr xmlns="http://schemas.microsoft.com/office/spreadsheetml/2009/9/main" objectType="CheckBox" fmlaLink="$C$20" lockText="1"/>
</file>

<file path=xl/ctrlProps/ctrlProp339.xml><?xml version="1.0" encoding="utf-8"?>
<formControlPr xmlns="http://schemas.microsoft.com/office/spreadsheetml/2009/9/main" objectType="CheckBox" fmlaLink="$C$21" lockText="1"/>
</file>

<file path=xl/ctrlProps/ctrlProp34.xml><?xml version="1.0" encoding="utf-8"?>
<formControlPr xmlns="http://schemas.microsoft.com/office/spreadsheetml/2009/9/main" objectType="CheckBox" fmlaLink="$B$23" lockText="1"/>
</file>

<file path=xl/ctrlProps/ctrlProp340.xml><?xml version="1.0" encoding="utf-8"?>
<formControlPr xmlns="http://schemas.microsoft.com/office/spreadsheetml/2009/9/main" objectType="CheckBox" fmlaLink="$C$16" lockText="1"/>
</file>

<file path=xl/ctrlProps/ctrlProp35.xml><?xml version="1.0" encoding="utf-8"?>
<formControlPr xmlns="http://schemas.microsoft.com/office/spreadsheetml/2009/9/main" objectType="CheckBox" fmlaLink="$B$24" lockText="1"/>
</file>

<file path=xl/ctrlProps/ctrlProp36.xml><?xml version="1.0" encoding="utf-8"?>
<formControlPr xmlns="http://schemas.microsoft.com/office/spreadsheetml/2009/9/main" objectType="CheckBox" fmlaLink="$B$26" lockText="1"/>
</file>

<file path=xl/ctrlProps/ctrlProp37.xml><?xml version="1.0" encoding="utf-8"?>
<formControlPr xmlns="http://schemas.microsoft.com/office/spreadsheetml/2009/9/main" objectType="CheckBox" fmlaLink="$B$27" lockText="1"/>
</file>

<file path=xl/ctrlProps/ctrlProp38.xml><?xml version="1.0" encoding="utf-8"?>
<formControlPr xmlns="http://schemas.microsoft.com/office/spreadsheetml/2009/9/main" objectType="CheckBox" fmlaLink="$B$28" lockText="1"/>
</file>

<file path=xl/ctrlProps/ctrlProp39.xml><?xml version="1.0" encoding="utf-8"?>
<formControlPr xmlns="http://schemas.microsoft.com/office/spreadsheetml/2009/9/main" objectType="CheckBox" fmlaLink="$B$29" lockText="1"/>
</file>

<file path=xl/ctrlProps/ctrlProp4.xml><?xml version="1.0" encoding="utf-8"?>
<formControlPr xmlns="http://schemas.microsoft.com/office/spreadsheetml/2009/9/main" objectType="CheckBox" fmlaLink="$B$43" lockText="1"/>
</file>

<file path=xl/ctrlProps/ctrlProp40.xml><?xml version="1.0" encoding="utf-8"?>
<formControlPr xmlns="http://schemas.microsoft.com/office/spreadsheetml/2009/9/main" objectType="CheckBox" fmlaLink="$B$30" lockText="1"/>
</file>

<file path=xl/ctrlProps/ctrlProp41.xml><?xml version="1.0" encoding="utf-8"?>
<formControlPr xmlns="http://schemas.microsoft.com/office/spreadsheetml/2009/9/main" objectType="CheckBox" fmlaLink="$B$31" lockText="1"/>
</file>

<file path=xl/ctrlProps/ctrlProp42.xml><?xml version="1.0" encoding="utf-8"?>
<formControlPr xmlns="http://schemas.microsoft.com/office/spreadsheetml/2009/9/main" objectType="CheckBox" fmlaLink="$B$32" lockText="1"/>
</file>

<file path=xl/ctrlProps/ctrlProp43.xml><?xml version="1.0" encoding="utf-8"?>
<formControlPr xmlns="http://schemas.microsoft.com/office/spreadsheetml/2009/9/main" objectType="CheckBox" fmlaLink="$B$70" lockText="1"/>
</file>

<file path=xl/ctrlProps/ctrlProp44.xml><?xml version="1.0" encoding="utf-8"?>
<formControlPr xmlns="http://schemas.microsoft.com/office/spreadsheetml/2009/9/main" objectType="CheckBox" fmlaLink="$B$71" lockText="1"/>
</file>

<file path=xl/ctrlProps/ctrlProp45.xml><?xml version="1.0" encoding="utf-8"?>
<formControlPr xmlns="http://schemas.microsoft.com/office/spreadsheetml/2009/9/main" objectType="CheckBox" fmlaLink="$B$72" lockText="1"/>
</file>

<file path=xl/ctrlProps/ctrlProp46.xml><?xml version="1.0" encoding="utf-8"?>
<formControlPr xmlns="http://schemas.microsoft.com/office/spreadsheetml/2009/9/main" objectType="CheckBox" fmlaLink="$B$73" lockText="1"/>
</file>

<file path=xl/ctrlProps/ctrlProp47.xml><?xml version="1.0" encoding="utf-8"?>
<formControlPr xmlns="http://schemas.microsoft.com/office/spreadsheetml/2009/9/main" objectType="CheckBox" fmlaLink="$B$74" lockText="1"/>
</file>

<file path=xl/ctrlProps/ctrlProp48.xml><?xml version="1.0" encoding="utf-8"?>
<formControlPr xmlns="http://schemas.microsoft.com/office/spreadsheetml/2009/9/main" objectType="CheckBox" fmlaLink="$B$75" lockText="1"/>
</file>

<file path=xl/ctrlProps/ctrlProp49.xml><?xml version="1.0" encoding="utf-8"?>
<formControlPr xmlns="http://schemas.microsoft.com/office/spreadsheetml/2009/9/main" objectType="CheckBox" fmlaLink="$B$76" lockText="1"/>
</file>

<file path=xl/ctrlProps/ctrlProp5.xml><?xml version="1.0" encoding="utf-8"?>
<formControlPr xmlns="http://schemas.microsoft.com/office/spreadsheetml/2009/9/main" objectType="CheckBox" fmlaLink="$B$44" lockText="1"/>
</file>

<file path=xl/ctrlProps/ctrlProp50.xml><?xml version="1.0" encoding="utf-8"?>
<formControlPr xmlns="http://schemas.microsoft.com/office/spreadsheetml/2009/9/main" objectType="CheckBox" fmlaLink="$B$77" lockText="1"/>
</file>

<file path=xl/ctrlProps/ctrlProp51.xml><?xml version="1.0" encoding="utf-8"?>
<formControlPr xmlns="http://schemas.microsoft.com/office/spreadsheetml/2009/9/main" objectType="CheckBox" fmlaLink="$B$79" lockText="1"/>
</file>

<file path=xl/ctrlProps/ctrlProp52.xml><?xml version="1.0" encoding="utf-8"?>
<formControlPr xmlns="http://schemas.microsoft.com/office/spreadsheetml/2009/9/main" objectType="CheckBox" fmlaLink="$B$80" lockText="1"/>
</file>

<file path=xl/ctrlProps/ctrlProp53.xml><?xml version="1.0" encoding="utf-8"?>
<formControlPr xmlns="http://schemas.microsoft.com/office/spreadsheetml/2009/9/main" objectType="CheckBox" fmlaLink="$B$81" lockText="1"/>
</file>

<file path=xl/ctrlProps/ctrlProp54.xml><?xml version="1.0" encoding="utf-8"?>
<formControlPr xmlns="http://schemas.microsoft.com/office/spreadsheetml/2009/9/main" objectType="CheckBox" fmlaLink="$B$82" lockText="1"/>
</file>

<file path=xl/ctrlProps/ctrlProp55.xml><?xml version="1.0" encoding="utf-8"?>
<formControlPr xmlns="http://schemas.microsoft.com/office/spreadsheetml/2009/9/main" objectType="CheckBox" fmlaLink="$B$83" lockText="1"/>
</file>

<file path=xl/ctrlProps/ctrlProp56.xml><?xml version="1.0" encoding="utf-8"?>
<formControlPr xmlns="http://schemas.microsoft.com/office/spreadsheetml/2009/9/main" objectType="CheckBox" fmlaLink="$B$84" lockText="1"/>
</file>

<file path=xl/ctrlProps/ctrlProp57.xml><?xml version="1.0" encoding="utf-8"?>
<formControlPr xmlns="http://schemas.microsoft.com/office/spreadsheetml/2009/9/main" objectType="CheckBox" fmlaLink="$B$85" lockText="1"/>
</file>

<file path=xl/ctrlProps/ctrlProp58.xml><?xml version="1.0" encoding="utf-8"?>
<formControlPr xmlns="http://schemas.microsoft.com/office/spreadsheetml/2009/9/main" objectType="CheckBox" fmlaLink="$B$95" lockText="1"/>
</file>

<file path=xl/ctrlProps/ctrlProp59.xml><?xml version="1.0" encoding="utf-8"?>
<formControlPr xmlns="http://schemas.microsoft.com/office/spreadsheetml/2009/9/main" objectType="CheckBox" fmlaLink="$B$96" lockText="1"/>
</file>

<file path=xl/ctrlProps/ctrlProp6.xml><?xml version="1.0" encoding="utf-8"?>
<formControlPr xmlns="http://schemas.microsoft.com/office/spreadsheetml/2009/9/main" objectType="CheckBox" fmlaLink="$B$45" lockText="1"/>
</file>

<file path=xl/ctrlProps/ctrlProp60.xml><?xml version="1.0" encoding="utf-8"?>
<formControlPr xmlns="http://schemas.microsoft.com/office/spreadsheetml/2009/9/main" objectType="CheckBox" fmlaLink="$B$97" lockText="1"/>
</file>

<file path=xl/ctrlProps/ctrlProp61.xml><?xml version="1.0" encoding="utf-8"?>
<formControlPr xmlns="http://schemas.microsoft.com/office/spreadsheetml/2009/9/main" objectType="CheckBox" fmlaLink="$B$98" lockText="1"/>
</file>

<file path=xl/ctrlProps/ctrlProp62.xml><?xml version="1.0" encoding="utf-8"?>
<formControlPr xmlns="http://schemas.microsoft.com/office/spreadsheetml/2009/9/main" objectType="CheckBox" fmlaLink="$B$99" lockText="1"/>
</file>

<file path=xl/ctrlProps/ctrlProp63.xml><?xml version="1.0" encoding="utf-8"?>
<formControlPr xmlns="http://schemas.microsoft.com/office/spreadsheetml/2009/9/main" objectType="CheckBox" fmlaLink="$B$100" lockText="1"/>
</file>

<file path=xl/ctrlProps/ctrlProp64.xml><?xml version="1.0" encoding="utf-8"?>
<formControlPr xmlns="http://schemas.microsoft.com/office/spreadsheetml/2009/9/main" objectType="CheckBox" fmlaLink="$B$102" lockText="1"/>
</file>

<file path=xl/ctrlProps/ctrlProp65.xml><?xml version="1.0" encoding="utf-8"?>
<formControlPr xmlns="http://schemas.microsoft.com/office/spreadsheetml/2009/9/main" objectType="CheckBox" fmlaLink="$B$103" lockText="1"/>
</file>

<file path=xl/ctrlProps/ctrlProp66.xml><?xml version="1.0" encoding="utf-8"?>
<formControlPr xmlns="http://schemas.microsoft.com/office/spreadsheetml/2009/9/main" objectType="CheckBox" fmlaLink="$B$104" lockText="1"/>
</file>

<file path=xl/ctrlProps/ctrlProp67.xml><?xml version="1.0" encoding="utf-8"?>
<formControlPr xmlns="http://schemas.microsoft.com/office/spreadsheetml/2009/9/main" objectType="CheckBox" fmlaLink="$B$105" lockText="1"/>
</file>

<file path=xl/ctrlProps/ctrlProp68.xml><?xml version="1.0" encoding="utf-8"?>
<formControlPr xmlns="http://schemas.microsoft.com/office/spreadsheetml/2009/9/main" objectType="CheckBox" fmlaLink="$B$106" lockText="1"/>
</file>

<file path=xl/ctrlProps/ctrlProp69.xml><?xml version="1.0" encoding="utf-8"?>
<formControlPr xmlns="http://schemas.microsoft.com/office/spreadsheetml/2009/9/main" objectType="CheckBox" fmlaLink="$B$107" lockText="1"/>
</file>

<file path=xl/ctrlProps/ctrlProp7.xml><?xml version="1.0" encoding="utf-8"?>
<formControlPr xmlns="http://schemas.microsoft.com/office/spreadsheetml/2009/9/main" objectType="CheckBox" fmlaLink="$B$46" lockText="1"/>
</file>

<file path=xl/ctrlProps/ctrlProp70.xml><?xml version="1.0" encoding="utf-8"?>
<formControlPr xmlns="http://schemas.microsoft.com/office/spreadsheetml/2009/9/main" objectType="CheckBox" fmlaLink="$B$108" lockText="1"/>
</file>

<file path=xl/ctrlProps/ctrlProp71.xml><?xml version="1.0" encoding="utf-8"?>
<formControlPr xmlns="http://schemas.microsoft.com/office/spreadsheetml/2009/9/main" objectType="CheckBox" fmlaLink="$B$116" lockText="1"/>
</file>

<file path=xl/ctrlProps/ctrlProp72.xml><?xml version="1.0" encoding="utf-8"?>
<formControlPr xmlns="http://schemas.microsoft.com/office/spreadsheetml/2009/9/main" objectType="CheckBox" fmlaLink="$B$117" lockText="1"/>
</file>

<file path=xl/ctrlProps/ctrlProp73.xml><?xml version="1.0" encoding="utf-8"?>
<formControlPr xmlns="http://schemas.microsoft.com/office/spreadsheetml/2009/9/main" objectType="CheckBox" fmlaLink="$B$118" lockText="1"/>
</file>

<file path=xl/ctrlProps/ctrlProp74.xml><?xml version="1.0" encoding="utf-8"?>
<formControlPr xmlns="http://schemas.microsoft.com/office/spreadsheetml/2009/9/main" objectType="CheckBox" fmlaLink="$B$119" lockText="1"/>
</file>

<file path=xl/ctrlProps/ctrlProp75.xml><?xml version="1.0" encoding="utf-8"?>
<formControlPr xmlns="http://schemas.microsoft.com/office/spreadsheetml/2009/9/main" objectType="CheckBox" fmlaLink="$B$120" lockText="1"/>
</file>

<file path=xl/ctrlProps/ctrlProp76.xml><?xml version="1.0" encoding="utf-8"?>
<formControlPr xmlns="http://schemas.microsoft.com/office/spreadsheetml/2009/9/main" objectType="CheckBox" fmlaLink="$B$122" lockText="1"/>
</file>

<file path=xl/ctrlProps/ctrlProp77.xml><?xml version="1.0" encoding="utf-8"?>
<formControlPr xmlns="http://schemas.microsoft.com/office/spreadsheetml/2009/9/main" objectType="CheckBox" fmlaLink="$B$123" lockText="1"/>
</file>

<file path=xl/ctrlProps/ctrlProp78.xml><?xml version="1.0" encoding="utf-8"?>
<formControlPr xmlns="http://schemas.microsoft.com/office/spreadsheetml/2009/9/main" objectType="CheckBox" fmlaLink="$B$124" lockText="1"/>
</file>

<file path=xl/ctrlProps/ctrlProp79.xml><?xml version="1.0" encoding="utf-8"?>
<formControlPr xmlns="http://schemas.microsoft.com/office/spreadsheetml/2009/9/main" objectType="CheckBox" fmlaLink="$B$134" lockText="1"/>
</file>

<file path=xl/ctrlProps/ctrlProp8.xml><?xml version="1.0" encoding="utf-8"?>
<formControlPr xmlns="http://schemas.microsoft.com/office/spreadsheetml/2009/9/main" objectType="CheckBox" fmlaLink="$B$47" lockText="1"/>
</file>

<file path=xl/ctrlProps/ctrlProp80.xml><?xml version="1.0" encoding="utf-8"?>
<formControlPr xmlns="http://schemas.microsoft.com/office/spreadsheetml/2009/9/main" objectType="CheckBox" fmlaLink="$B$135" lockText="1"/>
</file>

<file path=xl/ctrlProps/ctrlProp81.xml><?xml version="1.0" encoding="utf-8"?>
<formControlPr xmlns="http://schemas.microsoft.com/office/spreadsheetml/2009/9/main" objectType="CheckBox" fmlaLink="$B$136" lockText="1"/>
</file>

<file path=xl/ctrlProps/ctrlProp82.xml><?xml version="1.0" encoding="utf-8"?>
<formControlPr xmlns="http://schemas.microsoft.com/office/spreadsheetml/2009/9/main" objectType="CheckBox" fmlaLink="$B$137" lockText="1"/>
</file>

<file path=xl/ctrlProps/ctrlProp83.xml><?xml version="1.0" encoding="utf-8"?>
<formControlPr xmlns="http://schemas.microsoft.com/office/spreadsheetml/2009/9/main" objectType="CheckBox" fmlaLink="$B$138" lockText="1"/>
</file>

<file path=xl/ctrlProps/ctrlProp84.xml><?xml version="1.0" encoding="utf-8"?>
<formControlPr xmlns="http://schemas.microsoft.com/office/spreadsheetml/2009/9/main" objectType="CheckBox" fmlaLink="$B$139" lockText="1"/>
</file>

<file path=xl/ctrlProps/ctrlProp85.xml><?xml version="1.0" encoding="utf-8"?>
<formControlPr xmlns="http://schemas.microsoft.com/office/spreadsheetml/2009/9/main" objectType="CheckBox" fmlaLink="$B$140" lockText="1"/>
</file>

<file path=xl/ctrlProps/ctrlProp86.xml><?xml version="1.0" encoding="utf-8"?>
<formControlPr xmlns="http://schemas.microsoft.com/office/spreadsheetml/2009/9/main" objectType="CheckBox" fmlaLink="$B$141" lockText="1"/>
</file>

<file path=xl/ctrlProps/ctrlProp87.xml><?xml version="1.0" encoding="utf-8"?>
<formControlPr xmlns="http://schemas.microsoft.com/office/spreadsheetml/2009/9/main" objectType="CheckBox" fmlaLink="$B$142" lockText="1"/>
</file>

<file path=xl/ctrlProps/ctrlProp88.xml><?xml version="1.0" encoding="utf-8"?>
<formControlPr xmlns="http://schemas.microsoft.com/office/spreadsheetml/2009/9/main" objectType="CheckBox" fmlaLink="$B$148" lockText="1"/>
</file>

<file path=xl/ctrlProps/ctrlProp89.xml><?xml version="1.0" encoding="utf-8"?>
<formControlPr xmlns="http://schemas.microsoft.com/office/spreadsheetml/2009/9/main" objectType="CheckBox" fmlaLink="$B$149" lockText="1"/>
</file>

<file path=xl/ctrlProps/ctrlProp9.xml><?xml version="1.0" encoding="utf-8"?>
<formControlPr xmlns="http://schemas.microsoft.com/office/spreadsheetml/2009/9/main" objectType="CheckBox" fmlaLink="$B$48" lockText="1"/>
</file>

<file path=xl/ctrlProps/ctrlProp90.xml><?xml version="1.0" encoding="utf-8"?>
<formControlPr xmlns="http://schemas.microsoft.com/office/spreadsheetml/2009/9/main" objectType="CheckBox" fmlaLink="$B$150" lockText="1"/>
</file>

<file path=xl/ctrlProps/ctrlProp91.xml><?xml version="1.0" encoding="utf-8"?>
<formControlPr xmlns="http://schemas.microsoft.com/office/spreadsheetml/2009/9/main" objectType="CheckBox" fmlaLink="$B$151" lockText="1"/>
</file>

<file path=xl/ctrlProps/ctrlProp92.xml><?xml version="1.0" encoding="utf-8"?>
<formControlPr xmlns="http://schemas.microsoft.com/office/spreadsheetml/2009/9/main" objectType="CheckBox" fmlaLink="$B$152" lockText="1"/>
</file>

<file path=xl/ctrlProps/ctrlProp93.xml><?xml version="1.0" encoding="utf-8"?>
<formControlPr xmlns="http://schemas.microsoft.com/office/spreadsheetml/2009/9/main" objectType="CheckBox" fmlaLink="$B$153" lockText="1"/>
</file>

<file path=xl/ctrlProps/ctrlProp94.xml><?xml version="1.0" encoding="utf-8"?>
<formControlPr xmlns="http://schemas.microsoft.com/office/spreadsheetml/2009/9/main" objectType="CheckBox" fmlaLink="$B$154" lockText="1"/>
</file>

<file path=xl/ctrlProps/ctrlProp95.xml><?xml version="1.0" encoding="utf-8"?>
<formControlPr xmlns="http://schemas.microsoft.com/office/spreadsheetml/2009/9/main" objectType="CheckBox" fmlaLink="$B$161" lockText="1"/>
</file>

<file path=xl/ctrlProps/ctrlProp96.xml><?xml version="1.0" encoding="utf-8"?>
<formControlPr xmlns="http://schemas.microsoft.com/office/spreadsheetml/2009/9/main" objectType="CheckBox" fmlaLink="$B$162" lockText="1"/>
</file>

<file path=xl/ctrlProps/ctrlProp97.xml><?xml version="1.0" encoding="utf-8"?>
<formControlPr xmlns="http://schemas.microsoft.com/office/spreadsheetml/2009/9/main" objectType="CheckBox" fmlaLink="$B$163" lockText="1"/>
</file>

<file path=xl/ctrlProps/ctrlProp98.xml><?xml version="1.0" encoding="utf-8"?>
<formControlPr xmlns="http://schemas.microsoft.com/office/spreadsheetml/2009/9/main" objectType="CheckBox" fmlaLink="$B$164" lockText="1"/>
</file>

<file path=xl/ctrlProps/ctrlProp99.xml><?xml version="1.0" encoding="utf-8"?>
<formControlPr xmlns="http://schemas.microsoft.com/office/spreadsheetml/2009/9/main" objectType="CheckBox" fmlaLink="$B$165" lockText="1"/>
</file>

<file path=xl/diagrams/_rels/data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4.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microsoft.com/office/2007/relationships/hdphoto" Target="../media/hdphoto1.wdp"/></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83B15B4-87E4-40A7-9009-464DE2E1175B}" type="doc">
      <dgm:prSet loTypeId="urn:microsoft.com/office/officeart/2005/8/layout/vList4#1" loCatId="list" qsTypeId="urn:microsoft.com/office/officeart/2005/8/quickstyle/simple1" qsCatId="simple" csTypeId="urn:microsoft.com/office/officeart/2005/8/colors/accent1_2" csCatId="accent1" phldr="1"/>
      <dgm:spPr/>
      <dgm:t>
        <a:bodyPr/>
        <a:lstStyle/>
        <a:p>
          <a:endParaRPr lang="en-US"/>
        </a:p>
      </dgm:t>
    </dgm:pt>
    <dgm:pt modelId="{1822D67B-CA56-4A1B-BA5D-BA5AAD79E2A3}">
      <dgm:prSet custT="1"/>
      <dgm:spPr/>
      <dgm:t>
        <a:bodyPr/>
        <a:lstStyle/>
        <a:p>
          <a:pPr algn="ctr"/>
          <a:r>
            <a:rPr lang="en-US" sz="2100" b="1"/>
            <a:t>CVN NIMITZ CLASS</a:t>
          </a:r>
          <a:endParaRPr lang="en-US" sz="2100"/>
        </a:p>
      </dgm:t>
    </dgm:pt>
    <dgm:pt modelId="{D14DD12C-A5F5-4000-84D3-D8F6B34030F8}" type="parTrans" cxnId="{4B521F64-DBA4-4501-A429-06A1584FA9B5}">
      <dgm:prSet/>
      <dgm:spPr/>
      <dgm:t>
        <a:bodyPr/>
        <a:lstStyle/>
        <a:p>
          <a:endParaRPr lang="en-US"/>
        </a:p>
      </dgm:t>
    </dgm:pt>
    <dgm:pt modelId="{FFFF98B0-0D3E-45AA-BE3B-EA719B6552DD}" type="sibTrans" cxnId="{4B521F64-DBA4-4501-A429-06A1584FA9B5}">
      <dgm:prSet/>
      <dgm:spPr/>
      <dgm:t>
        <a:bodyPr/>
        <a:lstStyle/>
        <a:p>
          <a:endParaRPr lang="en-US"/>
        </a:p>
      </dgm:t>
    </dgm:pt>
    <dgm:pt modelId="{F3EFB582-76BB-41F8-AA70-4FE512FD1315}">
      <dgm:prSet custT="1"/>
      <dgm:spPr/>
      <dgm:t>
        <a:bodyPr/>
        <a:lstStyle/>
        <a:p>
          <a:pPr algn="ctr"/>
          <a:r>
            <a:rPr lang="en-US" sz="2100" b="1"/>
            <a:t>CVN</a:t>
          </a:r>
          <a:r>
            <a:rPr lang="en-US" sz="1800" b="1"/>
            <a:t> </a:t>
          </a:r>
          <a:r>
            <a:rPr lang="en-US" sz="2100" b="1"/>
            <a:t>FORD CLASS</a:t>
          </a:r>
          <a:r>
            <a:rPr lang="en-US" sz="1800" b="1"/>
            <a:t> </a:t>
          </a:r>
          <a:endParaRPr lang="en-US" sz="1800"/>
        </a:p>
      </dgm:t>
    </dgm:pt>
    <dgm:pt modelId="{E89D16FC-F862-42F5-A488-7F3EBC332D7B}" type="parTrans" cxnId="{93AD5428-FE1B-4F9C-838C-F920061315A5}">
      <dgm:prSet/>
      <dgm:spPr/>
      <dgm:t>
        <a:bodyPr/>
        <a:lstStyle/>
        <a:p>
          <a:endParaRPr lang="en-US"/>
        </a:p>
      </dgm:t>
    </dgm:pt>
    <dgm:pt modelId="{5BA13CF1-8586-48C2-8EFF-71BCF333FD6D}" type="sibTrans" cxnId="{93AD5428-FE1B-4F9C-838C-F920061315A5}">
      <dgm:prSet/>
      <dgm:spPr/>
      <dgm:t>
        <a:bodyPr/>
        <a:lstStyle/>
        <a:p>
          <a:endParaRPr lang="en-US"/>
        </a:p>
      </dgm:t>
    </dgm:pt>
    <dgm:pt modelId="{9E7EBAEC-4D4A-4C65-A1A4-93B0B0066920}">
      <dgm:prSet custT="1"/>
      <dgm:spPr/>
      <dgm:t>
        <a:bodyPr/>
        <a:lstStyle/>
        <a:p>
          <a:pPr algn="ctr"/>
          <a:r>
            <a:rPr lang="en-US" sz="2100" b="1"/>
            <a:t>LHD</a:t>
          </a:r>
        </a:p>
      </dgm:t>
    </dgm:pt>
    <dgm:pt modelId="{50579F19-9EFF-4B8D-9BD6-7F74A554323D}" type="parTrans" cxnId="{366D61F6-5927-476F-B2CB-9B1E246429AB}">
      <dgm:prSet/>
      <dgm:spPr/>
      <dgm:t>
        <a:bodyPr/>
        <a:lstStyle/>
        <a:p>
          <a:endParaRPr lang="en-US"/>
        </a:p>
      </dgm:t>
    </dgm:pt>
    <dgm:pt modelId="{BF4B6D51-D7F5-4046-B8E9-9DA5D6159DE7}" type="sibTrans" cxnId="{366D61F6-5927-476F-B2CB-9B1E246429AB}">
      <dgm:prSet/>
      <dgm:spPr/>
      <dgm:t>
        <a:bodyPr/>
        <a:lstStyle/>
        <a:p>
          <a:endParaRPr lang="en-US"/>
        </a:p>
      </dgm:t>
    </dgm:pt>
    <dgm:pt modelId="{0D8FA793-B562-4FF1-BB3A-D87F1FC4997C}">
      <dgm:prSet custT="1"/>
      <dgm:spPr/>
      <dgm:t>
        <a:bodyPr/>
        <a:lstStyle/>
        <a:p>
          <a:pPr algn="ctr"/>
          <a:r>
            <a:rPr lang="en-US" sz="2100" b="1"/>
            <a:t>LHA</a:t>
          </a:r>
        </a:p>
      </dgm:t>
    </dgm:pt>
    <dgm:pt modelId="{7BC9D641-FE48-4599-8BAE-FFCC1A55273D}" type="parTrans" cxnId="{F5E3041A-2611-459C-925D-05FCF0CC8546}">
      <dgm:prSet/>
      <dgm:spPr/>
      <dgm:t>
        <a:bodyPr/>
        <a:lstStyle/>
        <a:p>
          <a:endParaRPr lang="en-US"/>
        </a:p>
      </dgm:t>
    </dgm:pt>
    <dgm:pt modelId="{E7112053-C381-4477-BBF3-77848A20E65A}" type="sibTrans" cxnId="{F5E3041A-2611-459C-925D-05FCF0CC8546}">
      <dgm:prSet/>
      <dgm:spPr/>
      <dgm:t>
        <a:bodyPr/>
        <a:lstStyle/>
        <a:p>
          <a:endParaRPr lang="en-US"/>
        </a:p>
      </dgm:t>
    </dgm:pt>
    <dgm:pt modelId="{808AFCF1-C8D1-4556-9361-063D813524F2}">
      <dgm:prSet custT="1"/>
      <dgm:spPr/>
      <dgm:t>
        <a:bodyPr/>
        <a:lstStyle/>
        <a:p>
          <a:pPr algn="ctr"/>
          <a:r>
            <a:rPr lang="en-US" sz="2100" b="1"/>
            <a:t>LCC</a:t>
          </a:r>
        </a:p>
      </dgm:t>
    </dgm:pt>
    <dgm:pt modelId="{5364C67A-7A57-4E86-89FA-96A6937A3FDB}" type="parTrans" cxnId="{E4C820E5-C4CD-4C71-85B6-FDDFBBDE1133}">
      <dgm:prSet/>
      <dgm:spPr/>
      <dgm:t>
        <a:bodyPr/>
        <a:lstStyle/>
        <a:p>
          <a:endParaRPr lang="en-US"/>
        </a:p>
      </dgm:t>
    </dgm:pt>
    <dgm:pt modelId="{4B1065BF-95E0-458C-AE0D-AB53F9C64CD6}" type="sibTrans" cxnId="{E4C820E5-C4CD-4C71-85B6-FDDFBBDE1133}">
      <dgm:prSet/>
      <dgm:spPr/>
      <dgm:t>
        <a:bodyPr/>
        <a:lstStyle/>
        <a:p>
          <a:endParaRPr lang="en-US"/>
        </a:p>
      </dgm:t>
    </dgm:pt>
    <dgm:pt modelId="{F0E0A6F7-6757-4087-B1C6-339DC61577DE}">
      <dgm:prSet custT="1"/>
      <dgm:spPr/>
      <dgm:t>
        <a:bodyPr/>
        <a:lstStyle/>
        <a:p>
          <a:pPr algn="ctr"/>
          <a:r>
            <a:rPr lang="en-US" sz="2100" b="1"/>
            <a:t>AS</a:t>
          </a:r>
        </a:p>
      </dgm:t>
    </dgm:pt>
    <dgm:pt modelId="{C1F32B13-1291-46CE-92CE-FCDCF90E7D6F}" type="parTrans" cxnId="{82D76F1D-1D0F-45A0-81FF-EA8F1C76D2D1}">
      <dgm:prSet/>
      <dgm:spPr/>
      <dgm:t>
        <a:bodyPr/>
        <a:lstStyle/>
        <a:p>
          <a:endParaRPr lang="en-US"/>
        </a:p>
      </dgm:t>
    </dgm:pt>
    <dgm:pt modelId="{D7542798-0382-4A55-9A2A-95463144BCE8}" type="sibTrans" cxnId="{82D76F1D-1D0F-45A0-81FF-EA8F1C76D2D1}">
      <dgm:prSet/>
      <dgm:spPr/>
      <dgm:t>
        <a:bodyPr/>
        <a:lstStyle/>
        <a:p>
          <a:endParaRPr lang="en-US"/>
        </a:p>
      </dgm:t>
    </dgm:pt>
    <dgm:pt modelId="{025A8C45-74FE-40BD-A50C-60E2475984A3}">
      <dgm:prSet custT="1"/>
      <dgm:spPr/>
      <dgm:t>
        <a:bodyPr/>
        <a:lstStyle/>
        <a:p>
          <a:pPr algn="ctr"/>
          <a:r>
            <a:rPr lang="en-US" sz="2100" b="1"/>
            <a:t>LPD</a:t>
          </a:r>
        </a:p>
      </dgm:t>
    </dgm:pt>
    <dgm:pt modelId="{49444E70-8AD2-4B27-8B2F-DD456001BE4F}" type="parTrans" cxnId="{92175C77-7F61-4D15-B748-1B646D88C6BC}">
      <dgm:prSet/>
      <dgm:spPr/>
      <dgm:t>
        <a:bodyPr/>
        <a:lstStyle/>
        <a:p>
          <a:endParaRPr lang="en-US"/>
        </a:p>
      </dgm:t>
    </dgm:pt>
    <dgm:pt modelId="{619A3783-52FB-4FAC-8381-2B139BEF8BC3}" type="sibTrans" cxnId="{92175C77-7F61-4D15-B748-1B646D88C6BC}">
      <dgm:prSet/>
      <dgm:spPr/>
      <dgm:t>
        <a:bodyPr/>
        <a:lstStyle/>
        <a:p>
          <a:endParaRPr lang="en-US"/>
        </a:p>
      </dgm:t>
    </dgm:pt>
    <dgm:pt modelId="{92F94355-11A4-4501-8066-DA859E2C1482}">
      <dgm:prSet custT="1"/>
      <dgm:spPr/>
      <dgm:t>
        <a:bodyPr/>
        <a:lstStyle/>
        <a:p>
          <a:pPr algn="ctr"/>
          <a:r>
            <a:rPr lang="en-US" sz="2100" b="1"/>
            <a:t>HOSPITAL</a:t>
          </a:r>
        </a:p>
      </dgm:t>
    </dgm:pt>
    <dgm:pt modelId="{A9DA473A-87DE-449B-A1D8-1D7E52A3992F}" type="parTrans" cxnId="{EBF3577E-4F2C-4921-A0F9-43F8D632BFBA}">
      <dgm:prSet/>
      <dgm:spPr/>
      <dgm:t>
        <a:bodyPr/>
        <a:lstStyle/>
        <a:p>
          <a:endParaRPr lang="en-US"/>
        </a:p>
      </dgm:t>
    </dgm:pt>
    <dgm:pt modelId="{67C90755-4212-417D-8A50-0AD743EB559A}" type="sibTrans" cxnId="{EBF3577E-4F2C-4921-A0F9-43F8D632BFBA}">
      <dgm:prSet/>
      <dgm:spPr/>
      <dgm:t>
        <a:bodyPr/>
        <a:lstStyle/>
        <a:p>
          <a:endParaRPr lang="en-US"/>
        </a:p>
      </dgm:t>
    </dgm:pt>
    <dgm:pt modelId="{01E7A53A-5206-4585-AEDD-F0594AC91C46}">
      <dgm:prSet custT="1"/>
      <dgm:spPr/>
      <dgm:t>
        <a:bodyPr/>
        <a:lstStyle/>
        <a:p>
          <a:pPr algn="ctr"/>
          <a:r>
            <a:rPr lang="en-US" sz="2100" b="1"/>
            <a:t>LSD</a:t>
          </a:r>
        </a:p>
      </dgm:t>
    </dgm:pt>
    <dgm:pt modelId="{86C890C9-8EDE-4499-9A7B-127BA416F0C1}" type="parTrans" cxnId="{7F877ECD-1988-47B9-AA9A-EAF73D924707}">
      <dgm:prSet/>
      <dgm:spPr/>
      <dgm:t>
        <a:bodyPr/>
        <a:lstStyle/>
        <a:p>
          <a:endParaRPr lang="en-US"/>
        </a:p>
      </dgm:t>
    </dgm:pt>
    <dgm:pt modelId="{A43EF0BC-023B-4525-AC05-4934BBECFB83}" type="sibTrans" cxnId="{7F877ECD-1988-47B9-AA9A-EAF73D924707}">
      <dgm:prSet/>
      <dgm:spPr/>
      <dgm:t>
        <a:bodyPr/>
        <a:lstStyle/>
        <a:p>
          <a:endParaRPr lang="en-US"/>
        </a:p>
      </dgm:t>
    </dgm:pt>
    <dgm:pt modelId="{AEA27930-9A22-47F3-93DD-A6E344308F0E}">
      <dgm:prSet custT="1"/>
      <dgm:spPr/>
      <dgm:t>
        <a:bodyPr/>
        <a:lstStyle/>
        <a:p>
          <a:pPr algn="ctr"/>
          <a:r>
            <a:rPr lang="en-US" sz="2100" b="1"/>
            <a:t>CG/DDG</a:t>
          </a:r>
        </a:p>
      </dgm:t>
    </dgm:pt>
    <dgm:pt modelId="{D50A2EC1-44E6-4B5D-8C43-94D9E74FC9BA}" type="parTrans" cxnId="{335963DA-6544-4B9D-A4E8-48F0CA50742E}">
      <dgm:prSet/>
      <dgm:spPr/>
      <dgm:t>
        <a:bodyPr/>
        <a:lstStyle/>
        <a:p>
          <a:endParaRPr lang="en-US"/>
        </a:p>
      </dgm:t>
    </dgm:pt>
    <dgm:pt modelId="{413C8575-093B-4E1E-B68E-CD68440F8DD5}" type="sibTrans" cxnId="{335963DA-6544-4B9D-A4E8-48F0CA50742E}">
      <dgm:prSet/>
      <dgm:spPr/>
      <dgm:t>
        <a:bodyPr/>
        <a:lstStyle/>
        <a:p>
          <a:endParaRPr lang="en-US"/>
        </a:p>
      </dgm:t>
    </dgm:pt>
    <dgm:pt modelId="{F129FDAD-BDAF-4F0A-9BC4-535AB73E2E2A}">
      <dgm:prSet custT="1"/>
      <dgm:spPr/>
      <dgm:t>
        <a:bodyPr/>
        <a:lstStyle/>
        <a:p>
          <a:pPr algn="ctr"/>
          <a:r>
            <a:rPr lang="en-US" sz="2100" b="1"/>
            <a:t>SSBN/SSGN</a:t>
          </a:r>
        </a:p>
      </dgm:t>
    </dgm:pt>
    <dgm:pt modelId="{FBFD0935-A53F-47E3-8295-84604810449F}" type="parTrans" cxnId="{2669C97B-8AD5-427A-95F6-C8816E16E9A0}">
      <dgm:prSet/>
      <dgm:spPr/>
      <dgm:t>
        <a:bodyPr/>
        <a:lstStyle/>
        <a:p>
          <a:endParaRPr lang="en-US"/>
        </a:p>
      </dgm:t>
    </dgm:pt>
    <dgm:pt modelId="{F81C269F-BDDF-421B-BB93-21D57653CB04}" type="sibTrans" cxnId="{2669C97B-8AD5-427A-95F6-C8816E16E9A0}">
      <dgm:prSet/>
      <dgm:spPr/>
      <dgm:t>
        <a:bodyPr/>
        <a:lstStyle/>
        <a:p>
          <a:endParaRPr lang="en-US"/>
        </a:p>
      </dgm:t>
    </dgm:pt>
    <dgm:pt modelId="{B6A82A44-87CA-4C64-B046-F01FD7064A76}">
      <dgm:prSet custT="1"/>
      <dgm:spPr/>
      <dgm:t>
        <a:bodyPr/>
        <a:lstStyle/>
        <a:p>
          <a:pPr algn="ctr"/>
          <a:r>
            <a:rPr lang="en-US" sz="2100" b="1"/>
            <a:t>SSN</a:t>
          </a:r>
        </a:p>
      </dgm:t>
    </dgm:pt>
    <dgm:pt modelId="{AD5A8BE9-4965-4420-BD3B-1F6F4080EB72}" type="parTrans" cxnId="{23E745A0-6064-4412-B73A-737B235C9A95}">
      <dgm:prSet/>
      <dgm:spPr/>
      <dgm:t>
        <a:bodyPr/>
        <a:lstStyle/>
        <a:p>
          <a:endParaRPr lang="en-US"/>
        </a:p>
      </dgm:t>
    </dgm:pt>
    <dgm:pt modelId="{F6AB728C-6216-46F7-9120-775B752E357C}" type="sibTrans" cxnId="{23E745A0-6064-4412-B73A-737B235C9A95}">
      <dgm:prSet/>
      <dgm:spPr/>
      <dgm:t>
        <a:bodyPr/>
        <a:lstStyle/>
        <a:p>
          <a:endParaRPr lang="en-US"/>
        </a:p>
      </dgm:t>
    </dgm:pt>
    <dgm:pt modelId="{7EFBCF96-FA0E-424F-9F79-A1026DABF2ED}">
      <dgm:prSet custT="1"/>
      <dgm:spPr/>
      <dgm:t>
        <a:bodyPr/>
        <a:lstStyle/>
        <a:p>
          <a:pPr algn="ctr"/>
          <a:r>
            <a:rPr lang="en-US" sz="2100" b="1"/>
            <a:t>LESS THAN 100</a:t>
          </a:r>
        </a:p>
      </dgm:t>
    </dgm:pt>
    <dgm:pt modelId="{BDE7584C-25AE-482A-93A8-3BB3BC4125D8}" type="parTrans" cxnId="{ACC95C8C-FEDD-47E8-B39F-DBB10B704945}">
      <dgm:prSet/>
      <dgm:spPr/>
      <dgm:t>
        <a:bodyPr/>
        <a:lstStyle/>
        <a:p>
          <a:endParaRPr lang="en-US"/>
        </a:p>
      </dgm:t>
    </dgm:pt>
    <dgm:pt modelId="{69DFA8A6-2C05-4A19-B43B-D909F54ABC63}" type="sibTrans" cxnId="{ACC95C8C-FEDD-47E8-B39F-DBB10B704945}">
      <dgm:prSet/>
      <dgm:spPr/>
      <dgm:t>
        <a:bodyPr/>
        <a:lstStyle/>
        <a:p>
          <a:endParaRPr lang="en-US"/>
        </a:p>
      </dgm:t>
    </dgm:pt>
    <dgm:pt modelId="{4D04E443-452C-4FEB-B1CB-86641EA7E5F3}">
      <dgm:prSet/>
      <dgm:spPr/>
      <dgm:t>
        <a:bodyPr/>
        <a:lstStyle/>
        <a:p>
          <a:r>
            <a:rPr lang="en-US"/>
            <a:t>                                    </a:t>
          </a:r>
          <a:r>
            <a:rPr lang="en-US" b="1"/>
            <a:t>LCS</a:t>
          </a:r>
        </a:p>
      </dgm:t>
    </dgm:pt>
    <dgm:pt modelId="{24E60746-8D41-43C5-83C1-7E89ADEEDCB2}" type="parTrans" cxnId="{E983355A-D71F-425D-82E4-4F1E79B6E3B1}">
      <dgm:prSet/>
      <dgm:spPr/>
      <dgm:t>
        <a:bodyPr/>
        <a:lstStyle/>
        <a:p>
          <a:endParaRPr lang="en-US"/>
        </a:p>
      </dgm:t>
    </dgm:pt>
    <dgm:pt modelId="{73047985-2CC6-4753-9EAD-0556724B8FC0}" type="sibTrans" cxnId="{E983355A-D71F-425D-82E4-4F1E79B6E3B1}">
      <dgm:prSet/>
      <dgm:spPr/>
      <dgm:t>
        <a:bodyPr/>
        <a:lstStyle/>
        <a:p>
          <a:endParaRPr lang="en-US"/>
        </a:p>
      </dgm:t>
    </dgm:pt>
    <dgm:pt modelId="{8615C6C2-9BD7-4293-885E-EA3A1FFD4F8D}" type="pres">
      <dgm:prSet presAssocID="{C83B15B4-87E4-40A7-9009-464DE2E1175B}" presName="linear" presStyleCnt="0">
        <dgm:presLayoutVars>
          <dgm:dir/>
          <dgm:resizeHandles val="exact"/>
        </dgm:presLayoutVars>
      </dgm:prSet>
      <dgm:spPr/>
      <dgm:t>
        <a:bodyPr/>
        <a:lstStyle/>
        <a:p>
          <a:endParaRPr lang="en-US"/>
        </a:p>
      </dgm:t>
    </dgm:pt>
    <dgm:pt modelId="{178A7017-80E5-44B7-949C-40DA92FB45F3}" type="pres">
      <dgm:prSet presAssocID="{1822D67B-CA56-4A1B-BA5D-BA5AAD79E2A3}" presName="comp" presStyleCnt="0"/>
      <dgm:spPr/>
    </dgm:pt>
    <dgm:pt modelId="{5B466564-F692-4FEA-8E22-33E0DD3A8CD1}" type="pres">
      <dgm:prSet presAssocID="{1822D67B-CA56-4A1B-BA5D-BA5AAD79E2A3}" presName="box" presStyleLbl="node1" presStyleIdx="0" presStyleCnt="14" custScaleX="99979" custScaleY="225028" custLinFactNeighborX="-2837" custLinFactNeighborY="5126"/>
      <dgm:spPr/>
      <dgm:t>
        <a:bodyPr/>
        <a:lstStyle/>
        <a:p>
          <a:endParaRPr lang="en-US"/>
        </a:p>
      </dgm:t>
    </dgm:pt>
    <dgm:pt modelId="{E0E7BF65-5A79-4714-AC49-87C5301B12EA}" type="pres">
      <dgm:prSet presAssocID="{1822D67B-CA56-4A1B-BA5D-BA5AAD79E2A3}" presName="img" presStyleLbl="fgImgPlace1" presStyleIdx="0" presStyleCnt="14" custScaleX="152539" custScaleY="220957" custLinFactNeighborX="29217" custLinFactNeighborY="9611"/>
      <dgm:spPr>
        <a:blipFill rotWithShape="1">
          <a:blip xmlns:r="http://schemas.openxmlformats.org/officeDocument/2006/relationships" r:embed="rId1"/>
          <a:stretch>
            <a:fillRect/>
          </a:stretch>
        </a:blipFill>
      </dgm:spPr>
      <dgm:t>
        <a:bodyPr/>
        <a:lstStyle/>
        <a:p>
          <a:endParaRPr lang="en-US"/>
        </a:p>
      </dgm:t>
    </dgm:pt>
    <dgm:pt modelId="{2A5D54BF-3C2A-4B32-92B2-D80D3525F769}" type="pres">
      <dgm:prSet presAssocID="{1822D67B-CA56-4A1B-BA5D-BA5AAD79E2A3}" presName="text" presStyleLbl="node1" presStyleIdx="0" presStyleCnt="14">
        <dgm:presLayoutVars>
          <dgm:bulletEnabled val="1"/>
        </dgm:presLayoutVars>
      </dgm:prSet>
      <dgm:spPr/>
      <dgm:t>
        <a:bodyPr/>
        <a:lstStyle/>
        <a:p>
          <a:endParaRPr lang="en-US"/>
        </a:p>
      </dgm:t>
    </dgm:pt>
    <dgm:pt modelId="{A7254A6C-750B-451C-B24C-D9AB182FBCFA}" type="pres">
      <dgm:prSet presAssocID="{FFFF98B0-0D3E-45AA-BE3B-EA719B6552DD}" presName="spacer" presStyleCnt="0"/>
      <dgm:spPr/>
    </dgm:pt>
    <dgm:pt modelId="{2A015093-4207-41F0-B6EB-2FB9A9984A85}" type="pres">
      <dgm:prSet presAssocID="{F3EFB582-76BB-41F8-AA70-4FE512FD1315}" presName="comp" presStyleCnt="0"/>
      <dgm:spPr/>
    </dgm:pt>
    <dgm:pt modelId="{88327136-7A2E-4A25-A677-E1EAF7983234}" type="pres">
      <dgm:prSet presAssocID="{F3EFB582-76BB-41F8-AA70-4FE512FD1315}" presName="box" presStyleLbl="node1" presStyleIdx="1" presStyleCnt="14" custScaleX="99979" custScaleY="225028" custLinFactNeighborX="-2564"/>
      <dgm:spPr/>
      <dgm:t>
        <a:bodyPr/>
        <a:lstStyle/>
        <a:p>
          <a:endParaRPr lang="en-US"/>
        </a:p>
      </dgm:t>
    </dgm:pt>
    <dgm:pt modelId="{EC63273A-29E9-463E-BE4C-2E0D1E71AFFE}" type="pres">
      <dgm:prSet presAssocID="{F3EFB582-76BB-41F8-AA70-4FE512FD1315}" presName="img" presStyleLbl="fgImgPlace1" presStyleIdx="1" presStyleCnt="14" custScaleX="152539" custScaleY="220956" custLinFactNeighborX="26709" custLinFactNeighborY="3204"/>
      <dgm:spPr>
        <a:blipFill rotWithShape="1">
          <a:blip xmlns:r="http://schemas.openxmlformats.org/officeDocument/2006/relationships" r:embed="rId2"/>
          <a:stretch>
            <a:fillRect/>
          </a:stretch>
        </a:blipFill>
      </dgm:spPr>
      <dgm:t>
        <a:bodyPr/>
        <a:lstStyle/>
        <a:p>
          <a:endParaRPr lang="en-US"/>
        </a:p>
      </dgm:t>
    </dgm:pt>
    <dgm:pt modelId="{9D927A25-D81C-4E9C-8B9A-E9CCE686573F}" type="pres">
      <dgm:prSet presAssocID="{F3EFB582-76BB-41F8-AA70-4FE512FD1315}" presName="text" presStyleLbl="node1" presStyleIdx="1" presStyleCnt="14">
        <dgm:presLayoutVars>
          <dgm:bulletEnabled val="1"/>
        </dgm:presLayoutVars>
      </dgm:prSet>
      <dgm:spPr/>
      <dgm:t>
        <a:bodyPr/>
        <a:lstStyle/>
        <a:p>
          <a:endParaRPr lang="en-US"/>
        </a:p>
      </dgm:t>
    </dgm:pt>
    <dgm:pt modelId="{BF359878-12F7-4DD3-8F21-1EB9FFB63C86}" type="pres">
      <dgm:prSet presAssocID="{5BA13CF1-8586-48C2-8EFF-71BCF333FD6D}" presName="spacer" presStyleCnt="0"/>
      <dgm:spPr/>
    </dgm:pt>
    <dgm:pt modelId="{36C50E38-39E9-41E3-8ABC-095BFBB830FA}" type="pres">
      <dgm:prSet presAssocID="{9E7EBAEC-4D4A-4C65-A1A4-93B0B0066920}" presName="comp" presStyleCnt="0"/>
      <dgm:spPr/>
    </dgm:pt>
    <dgm:pt modelId="{FFC996BF-0DEC-4FE8-A675-4596BE5BADBF}" type="pres">
      <dgm:prSet presAssocID="{9E7EBAEC-4D4A-4C65-A1A4-93B0B0066920}" presName="box" presStyleLbl="node1" presStyleIdx="2" presStyleCnt="14" custScaleX="99979" custScaleY="225028" custLinFactNeighborX="-3846" custLinFactNeighborY="4613"/>
      <dgm:spPr/>
      <dgm:t>
        <a:bodyPr/>
        <a:lstStyle/>
        <a:p>
          <a:endParaRPr lang="en-US"/>
        </a:p>
      </dgm:t>
    </dgm:pt>
    <dgm:pt modelId="{3A31F230-3B83-494A-8B58-73FE5055C100}" type="pres">
      <dgm:prSet presAssocID="{9E7EBAEC-4D4A-4C65-A1A4-93B0B0066920}" presName="img" presStyleLbl="fgImgPlace1" presStyleIdx="2" presStyleCnt="14" custAng="0" custScaleX="152539" custScaleY="220956" custLinFactNeighborX="23505" custLinFactNeighborY="6407"/>
      <dgm:spPr>
        <a:blipFill rotWithShape="1">
          <a:blip xmlns:r="http://schemas.openxmlformats.org/officeDocument/2006/relationships" r:embed="rId3"/>
          <a:stretch>
            <a:fillRect/>
          </a:stretch>
        </a:blipFill>
      </dgm:spPr>
      <dgm:t>
        <a:bodyPr/>
        <a:lstStyle/>
        <a:p>
          <a:endParaRPr lang="en-US"/>
        </a:p>
      </dgm:t>
    </dgm:pt>
    <dgm:pt modelId="{DC755C3A-4690-4C13-A5BB-689A420ACB58}" type="pres">
      <dgm:prSet presAssocID="{9E7EBAEC-4D4A-4C65-A1A4-93B0B0066920}" presName="text" presStyleLbl="node1" presStyleIdx="2" presStyleCnt="14">
        <dgm:presLayoutVars>
          <dgm:bulletEnabled val="1"/>
        </dgm:presLayoutVars>
      </dgm:prSet>
      <dgm:spPr/>
      <dgm:t>
        <a:bodyPr/>
        <a:lstStyle/>
        <a:p>
          <a:endParaRPr lang="en-US"/>
        </a:p>
      </dgm:t>
    </dgm:pt>
    <dgm:pt modelId="{620E7E90-7EE3-43F4-AA80-99295A728943}" type="pres">
      <dgm:prSet presAssocID="{BF4B6D51-D7F5-4046-B8E9-9DA5D6159DE7}" presName="spacer" presStyleCnt="0"/>
      <dgm:spPr/>
    </dgm:pt>
    <dgm:pt modelId="{1ACBE416-F0BA-462B-BBB4-03BCC171FB40}" type="pres">
      <dgm:prSet presAssocID="{0D8FA793-B562-4FF1-BB3A-D87F1FC4997C}" presName="comp" presStyleCnt="0"/>
      <dgm:spPr/>
    </dgm:pt>
    <dgm:pt modelId="{11BDFC4B-EE21-434A-9789-43A1074BAB79}" type="pres">
      <dgm:prSet presAssocID="{0D8FA793-B562-4FF1-BB3A-D87F1FC4997C}" presName="box" presStyleLbl="node1" presStyleIdx="3" presStyleCnt="14" custScaleX="99979" custScaleY="225028" custLinFactNeighborX="-2991"/>
      <dgm:spPr/>
      <dgm:t>
        <a:bodyPr/>
        <a:lstStyle/>
        <a:p>
          <a:endParaRPr lang="en-US"/>
        </a:p>
      </dgm:t>
    </dgm:pt>
    <dgm:pt modelId="{AD8E6D8C-1255-4C05-9F11-59D2A5C1F26B}" type="pres">
      <dgm:prSet presAssocID="{0D8FA793-B562-4FF1-BB3A-D87F1FC4997C}" presName="img" presStyleLbl="fgImgPlace1" presStyleIdx="3" presStyleCnt="14" custScaleX="152539" custScaleY="220956" custLinFactNeighborX="23504"/>
      <dgm:spPr>
        <a:blipFill rotWithShape="1">
          <a:blip xmlns:r="http://schemas.openxmlformats.org/officeDocument/2006/relationships" r:embed="rId4"/>
          <a:stretch>
            <a:fillRect/>
          </a:stretch>
        </a:blipFill>
      </dgm:spPr>
      <dgm:t>
        <a:bodyPr/>
        <a:lstStyle/>
        <a:p>
          <a:endParaRPr lang="en-US"/>
        </a:p>
      </dgm:t>
    </dgm:pt>
    <dgm:pt modelId="{50BF3C24-C926-4754-8D6A-B2A90BC7F950}" type="pres">
      <dgm:prSet presAssocID="{0D8FA793-B562-4FF1-BB3A-D87F1FC4997C}" presName="text" presStyleLbl="node1" presStyleIdx="3" presStyleCnt="14">
        <dgm:presLayoutVars>
          <dgm:bulletEnabled val="1"/>
        </dgm:presLayoutVars>
      </dgm:prSet>
      <dgm:spPr/>
      <dgm:t>
        <a:bodyPr/>
        <a:lstStyle/>
        <a:p>
          <a:endParaRPr lang="en-US"/>
        </a:p>
      </dgm:t>
    </dgm:pt>
    <dgm:pt modelId="{B953241F-E817-4257-9D3C-92B2BEEB74DE}" type="pres">
      <dgm:prSet presAssocID="{E7112053-C381-4477-BBF3-77848A20E65A}" presName="spacer" presStyleCnt="0"/>
      <dgm:spPr/>
    </dgm:pt>
    <dgm:pt modelId="{48125D84-BF49-44A7-98EE-40A8DFD7C492}" type="pres">
      <dgm:prSet presAssocID="{808AFCF1-C8D1-4556-9361-063D813524F2}" presName="comp" presStyleCnt="0"/>
      <dgm:spPr/>
    </dgm:pt>
    <dgm:pt modelId="{BB1DC7A9-75CD-4F22-8F92-71B216BA6403}" type="pres">
      <dgm:prSet presAssocID="{808AFCF1-C8D1-4556-9361-063D813524F2}" presName="box" presStyleLbl="node1" presStyleIdx="4" presStyleCnt="14" custScaleX="99979" custScaleY="225028" custLinFactNeighborX="-4701" custLinFactNeighborY="-2563"/>
      <dgm:spPr/>
      <dgm:t>
        <a:bodyPr/>
        <a:lstStyle/>
        <a:p>
          <a:endParaRPr lang="en-US"/>
        </a:p>
      </dgm:t>
    </dgm:pt>
    <dgm:pt modelId="{1DA8D612-89F6-425D-9320-D4A89C632FF0}" type="pres">
      <dgm:prSet presAssocID="{808AFCF1-C8D1-4556-9361-063D813524F2}" presName="img" presStyleLbl="fgImgPlace1" presStyleIdx="4" presStyleCnt="14" custScaleX="152539" custScaleY="220956" custLinFactNeighborX="26709" custLinFactNeighborY="-6407"/>
      <dgm:spPr>
        <a:blipFill rotWithShape="1">
          <a:blip xmlns:r="http://schemas.openxmlformats.org/officeDocument/2006/relationships" r:embed="rId5"/>
          <a:stretch>
            <a:fillRect/>
          </a:stretch>
        </a:blipFill>
      </dgm:spPr>
      <dgm:t>
        <a:bodyPr/>
        <a:lstStyle/>
        <a:p>
          <a:endParaRPr lang="en-US"/>
        </a:p>
      </dgm:t>
    </dgm:pt>
    <dgm:pt modelId="{B966B89E-844E-4C32-B108-722A6FC46422}" type="pres">
      <dgm:prSet presAssocID="{808AFCF1-C8D1-4556-9361-063D813524F2}" presName="text" presStyleLbl="node1" presStyleIdx="4" presStyleCnt="14">
        <dgm:presLayoutVars>
          <dgm:bulletEnabled val="1"/>
        </dgm:presLayoutVars>
      </dgm:prSet>
      <dgm:spPr/>
      <dgm:t>
        <a:bodyPr/>
        <a:lstStyle/>
        <a:p>
          <a:endParaRPr lang="en-US"/>
        </a:p>
      </dgm:t>
    </dgm:pt>
    <dgm:pt modelId="{A5C348C0-B227-44FE-87C5-AAD9615AA90E}" type="pres">
      <dgm:prSet presAssocID="{4B1065BF-95E0-458C-AE0D-AB53F9C64CD6}" presName="spacer" presStyleCnt="0"/>
      <dgm:spPr/>
    </dgm:pt>
    <dgm:pt modelId="{0FC3C479-4ADB-4EE4-B84B-3AA484D8C11E}" type="pres">
      <dgm:prSet presAssocID="{F0E0A6F7-6757-4087-B1C6-339DC61577DE}" presName="comp" presStyleCnt="0"/>
      <dgm:spPr/>
    </dgm:pt>
    <dgm:pt modelId="{5956E3E6-D2AA-4264-8C4E-434F82578DE7}" type="pres">
      <dgm:prSet presAssocID="{F0E0A6F7-6757-4087-B1C6-339DC61577DE}" presName="box" presStyleLbl="node1" presStyleIdx="5" presStyleCnt="14" custScaleX="99979" custScaleY="225028" custLinFactNeighborX="-2474" custLinFactNeighborY="-7689"/>
      <dgm:spPr/>
      <dgm:t>
        <a:bodyPr/>
        <a:lstStyle/>
        <a:p>
          <a:endParaRPr lang="en-US"/>
        </a:p>
      </dgm:t>
    </dgm:pt>
    <dgm:pt modelId="{FC370B0A-A492-4C52-85F1-A4CD636C0E30}" type="pres">
      <dgm:prSet presAssocID="{F0E0A6F7-6757-4087-B1C6-339DC61577DE}" presName="img" presStyleLbl="fgImgPlace1" presStyleIdx="5" presStyleCnt="14" custAng="0" custScaleX="152539" custScaleY="220956" custLinFactNeighborX="28520" custLinFactNeighborY="-49773"/>
      <dgm:spPr>
        <a:blipFill rotWithShape="1">
          <a:blip xmlns:r="http://schemas.openxmlformats.org/officeDocument/2006/relationships" r:embed="rId6"/>
          <a:stretch>
            <a:fillRect/>
          </a:stretch>
        </a:blipFill>
      </dgm:spPr>
      <dgm:t>
        <a:bodyPr/>
        <a:lstStyle/>
        <a:p>
          <a:endParaRPr lang="en-US"/>
        </a:p>
      </dgm:t>
    </dgm:pt>
    <dgm:pt modelId="{AC863AB0-1912-4840-8A3A-CC2A9B974A14}" type="pres">
      <dgm:prSet presAssocID="{F0E0A6F7-6757-4087-B1C6-339DC61577DE}" presName="text" presStyleLbl="node1" presStyleIdx="5" presStyleCnt="14">
        <dgm:presLayoutVars>
          <dgm:bulletEnabled val="1"/>
        </dgm:presLayoutVars>
      </dgm:prSet>
      <dgm:spPr/>
      <dgm:t>
        <a:bodyPr/>
        <a:lstStyle/>
        <a:p>
          <a:endParaRPr lang="en-US"/>
        </a:p>
      </dgm:t>
    </dgm:pt>
    <dgm:pt modelId="{19C62E77-A486-45FD-B357-EE6A5E1B292E}" type="pres">
      <dgm:prSet presAssocID="{D7542798-0382-4A55-9A2A-95463144BCE8}" presName="spacer" presStyleCnt="0"/>
      <dgm:spPr/>
    </dgm:pt>
    <dgm:pt modelId="{C91ACABA-1BDF-4DB4-B723-1F4BF1E0514D}" type="pres">
      <dgm:prSet presAssocID="{025A8C45-74FE-40BD-A50C-60E2475984A3}" presName="comp" presStyleCnt="0"/>
      <dgm:spPr/>
    </dgm:pt>
    <dgm:pt modelId="{15B4184F-7096-4EA0-AD3C-00B43A74DD22}" type="pres">
      <dgm:prSet presAssocID="{025A8C45-74FE-40BD-A50C-60E2475984A3}" presName="box" presStyleLbl="node1" presStyleIdx="6" presStyleCnt="14" custScaleX="99979" custScaleY="225028" custLinFactNeighborX="-2464" custLinFactNeighborY="-2843"/>
      <dgm:spPr/>
      <dgm:t>
        <a:bodyPr/>
        <a:lstStyle/>
        <a:p>
          <a:endParaRPr lang="en-US"/>
        </a:p>
      </dgm:t>
    </dgm:pt>
    <dgm:pt modelId="{9446C1C7-9762-4377-BBAF-1E49B698B082}" type="pres">
      <dgm:prSet presAssocID="{025A8C45-74FE-40BD-A50C-60E2475984A3}" presName="img" presStyleLbl="fgImgPlace1" presStyleIdx="6" presStyleCnt="14" custScaleX="152539" custScaleY="220956" custLinFactNeighborX="28846" custLinFactNeighborY="-46786"/>
      <dgm:spPr>
        <a:blipFill rotWithShape="1">
          <a:blip xmlns:r="http://schemas.openxmlformats.org/officeDocument/2006/relationships" r:embed="rId7"/>
          <a:stretch>
            <a:fillRect/>
          </a:stretch>
        </a:blipFill>
      </dgm:spPr>
      <dgm:t>
        <a:bodyPr/>
        <a:lstStyle/>
        <a:p>
          <a:endParaRPr lang="en-US"/>
        </a:p>
      </dgm:t>
    </dgm:pt>
    <dgm:pt modelId="{B35F4490-62E3-48D9-AF1A-47DD7F295DFE}" type="pres">
      <dgm:prSet presAssocID="{025A8C45-74FE-40BD-A50C-60E2475984A3}" presName="text" presStyleLbl="node1" presStyleIdx="6" presStyleCnt="14">
        <dgm:presLayoutVars>
          <dgm:bulletEnabled val="1"/>
        </dgm:presLayoutVars>
      </dgm:prSet>
      <dgm:spPr/>
      <dgm:t>
        <a:bodyPr/>
        <a:lstStyle/>
        <a:p>
          <a:endParaRPr lang="en-US"/>
        </a:p>
      </dgm:t>
    </dgm:pt>
    <dgm:pt modelId="{37C2BC10-EA77-4D3E-B6F5-5522B6657CC5}" type="pres">
      <dgm:prSet presAssocID="{619A3783-52FB-4FAC-8381-2B139BEF8BC3}" presName="spacer" presStyleCnt="0"/>
      <dgm:spPr/>
    </dgm:pt>
    <dgm:pt modelId="{71647227-6B16-4F95-A172-E6773C328738}" type="pres">
      <dgm:prSet presAssocID="{92F94355-11A4-4501-8066-DA859E2C1482}" presName="comp" presStyleCnt="0"/>
      <dgm:spPr/>
    </dgm:pt>
    <dgm:pt modelId="{60F14B07-2B22-421D-9A14-A443B38C2AD6}" type="pres">
      <dgm:prSet presAssocID="{92F94355-11A4-4501-8066-DA859E2C1482}" presName="box" presStyleLbl="node1" presStyleIdx="7" presStyleCnt="14" custScaleX="99979" custScaleY="225028" custLinFactNeighborX="-2778" custLinFactNeighborY="-2563"/>
      <dgm:spPr/>
      <dgm:t>
        <a:bodyPr/>
        <a:lstStyle/>
        <a:p>
          <a:endParaRPr lang="en-US"/>
        </a:p>
      </dgm:t>
    </dgm:pt>
    <dgm:pt modelId="{63FCC9E2-DD5B-4CFE-9DC4-3A26A0071E71}" type="pres">
      <dgm:prSet presAssocID="{92F94355-11A4-4501-8066-DA859E2C1482}" presName="img" presStyleLbl="fgImgPlace1" presStyleIdx="7" presStyleCnt="14" custScaleX="152539" custScaleY="220956" custLinFactNeighborX="27778" custLinFactNeighborY="-46786"/>
      <dgm:spPr>
        <a:blipFill rotWithShape="1">
          <a:blip xmlns:r="http://schemas.openxmlformats.org/officeDocument/2006/relationships" r:embed="rId8"/>
          <a:stretch>
            <a:fillRect/>
          </a:stretch>
        </a:blipFill>
      </dgm:spPr>
      <dgm:t>
        <a:bodyPr/>
        <a:lstStyle/>
        <a:p>
          <a:endParaRPr lang="en-US"/>
        </a:p>
      </dgm:t>
    </dgm:pt>
    <dgm:pt modelId="{E0E2F721-C4EC-47CD-BFF7-7E67B68952CD}" type="pres">
      <dgm:prSet presAssocID="{92F94355-11A4-4501-8066-DA859E2C1482}" presName="text" presStyleLbl="node1" presStyleIdx="7" presStyleCnt="14">
        <dgm:presLayoutVars>
          <dgm:bulletEnabled val="1"/>
        </dgm:presLayoutVars>
      </dgm:prSet>
      <dgm:spPr/>
      <dgm:t>
        <a:bodyPr/>
        <a:lstStyle/>
        <a:p>
          <a:endParaRPr lang="en-US"/>
        </a:p>
      </dgm:t>
    </dgm:pt>
    <dgm:pt modelId="{8B537B3D-E800-484D-8386-46FD9DDBA316}" type="pres">
      <dgm:prSet presAssocID="{67C90755-4212-417D-8A50-0AD743EB559A}" presName="spacer" presStyleCnt="0"/>
      <dgm:spPr/>
    </dgm:pt>
    <dgm:pt modelId="{E932EDE7-0CB5-46FD-8454-F1C64C099D55}" type="pres">
      <dgm:prSet presAssocID="{01E7A53A-5206-4585-AEDD-F0594AC91C46}" presName="comp" presStyleCnt="0"/>
      <dgm:spPr/>
    </dgm:pt>
    <dgm:pt modelId="{1FDF5E49-FE72-4652-BC5A-06E5A9756DB0}" type="pres">
      <dgm:prSet presAssocID="{01E7A53A-5206-4585-AEDD-F0594AC91C46}" presName="box" presStyleLbl="node1" presStyleIdx="8" presStyleCnt="14" custScaleX="99979" custScaleY="225028" custLinFactNeighborX="-2756" custLinFactNeighborY="-7689"/>
      <dgm:spPr/>
      <dgm:t>
        <a:bodyPr/>
        <a:lstStyle/>
        <a:p>
          <a:endParaRPr lang="en-US"/>
        </a:p>
      </dgm:t>
    </dgm:pt>
    <dgm:pt modelId="{BFA31256-8A55-4D73-88AC-51FB5E9ADF0C}" type="pres">
      <dgm:prSet presAssocID="{01E7A53A-5206-4585-AEDD-F0594AC91C46}" presName="img" presStyleLbl="fgImgPlace1" presStyleIdx="8" presStyleCnt="14" custScaleX="152539" custScaleY="220956" custLinFactNeighborX="27778" custLinFactNeighborY="-53194"/>
      <dgm:spPr>
        <a:blipFill rotWithShape="1">
          <a:blip xmlns:r="http://schemas.openxmlformats.org/officeDocument/2006/relationships" r:embed="rId9"/>
          <a:stretch>
            <a:fillRect/>
          </a:stretch>
        </a:blipFill>
      </dgm:spPr>
      <dgm:t>
        <a:bodyPr/>
        <a:lstStyle/>
        <a:p>
          <a:endParaRPr lang="en-US"/>
        </a:p>
      </dgm:t>
    </dgm:pt>
    <dgm:pt modelId="{76499F8B-E252-4B9E-8F63-9FDA6D5E4CD1}" type="pres">
      <dgm:prSet presAssocID="{01E7A53A-5206-4585-AEDD-F0594AC91C46}" presName="text" presStyleLbl="node1" presStyleIdx="8" presStyleCnt="14">
        <dgm:presLayoutVars>
          <dgm:bulletEnabled val="1"/>
        </dgm:presLayoutVars>
      </dgm:prSet>
      <dgm:spPr/>
      <dgm:t>
        <a:bodyPr/>
        <a:lstStyle/>
        <a:p>
          <a:endParaRPr lang="en-US"/>
        </a:p>
      </dgm:t>
    </dgm:pt>
    <dgm:pt modelId="{F2F27777-9186-4244-9BB2-4E6E782B4A62}" type="pres">
      <dgm:prSet presAssocID="{A43EF0BC-023B-4525-AC05-4934BBECFB83}" presName="spacer" presStyleCnt="0"/>
      <dgm:spPr/>
    </dgm:pt>
    <dgm:pt modelId="{9144EC92-4DE1-4D4C-A685-645879C86BC1}" type="pres">
      <dgm:prSet presAssocID="{AEA27930-9A22-47F3-93DD-A6E344308F0E}" presName="comp" presStyleCnt="0"/>
      <dgm:spPr/>
    </dgm:pt>
    <dgm:pt modelId="{E2B764E2-7605-4980-8938-1E64F6592750}" type="pres">
      <dgm:prSet presAssocID="{AEA27930-9A22-47F3-93DD-A6E344308F0E}" presName="box" presStyleLbl="node1" presStyleIdx="9" presStyleCnt="14" custScaleX="99979" custScaleY="225028" custLinFactNeighborX="-2756" custLinFactNeighborY="-7689"/>
      <dgm:spPr/>
      <dgm:t>
        <a:bodyPr/>
        <a:lstStyle/>
        <a:p>
          <a:endParaRPr lang="en-US"/>
        </a:p>
      </dgm:t>
    </dgm:pt>
    <dgm:pt modelId="{11486A67-EB43-4BC3-B30B-F0CA4406497E}" type="pres">
      <dgm:prSet presAssocID="{AEA27930-9A22-47F3-93DD-A6E344308F0E}" presName="img" presStyleLbl="fgImgPlace1" presStyleIdx="9" presStyleCnt="14" custScaleX="152539" custScaleY="220956" custLinFactNeighborX="27345" custLinFactNeighborY="-45076"/>
      <dgm:spPr>
        <a:blipFill rotWithShape="1">
          <a:blip xmlns:r="http://schemas.openxmlformats.org/officeDocument/2006/relationships" r:embed="rId10"/>
          <a:stretch>
            <a:fillRect/>
          </a:stretch>
        </a:blipFill>
      </dgm:spPr>
      <dgm:t>
        <a:bodyPr/>
        <a:lstStyle/>
        <a:p>
          <a:endParaRPr lang="en-US"/>
        </a:p>
      </dgm:t>
    </dgm:pt>
    <dgm:pt modelId="{3319DB0A-AB96-4E19-AE96-831CC150DBDC}" type="pres">
      <dgm:prSet presAssocID="{AEA27930-9A22-47F3-93DD-A6E344308F0E}" presName="text" presStyleLbl="node1" presStyleIdx="9" presStyleCnt="14">
        <dgm:presLayoutVars>
          <dgm:bulletEnabled val="1"/>
        </dgm:presLayoutVars>
      </dgm:prSet>
      <dgm:spPr/>
      <dgm:t>
        <a:bodyPr/>
        <a:lstStyle/>
        <a:p>
          <a:endParaRPr lang="en-US"/>
        </a:p>
      </dgm:t>
    </dgm:pt>
    <dgm:pt modelId="{F37ABD07-CD7E-4C2B-99D1-36857B5467B2}" type="pres">
      <dgm:prSet presAssocID="{413C8575-093B-4E1E-B68E-CD68440F8DD5}" presName="spacer" presStyleCnt="0"/>
      <dgm:spPr/>
    </dgm:pt>
    <dgm:pt modelId="{60B841B5-4E80-4CAE-B3C5-8D012F90D1B8}" type="pres">
      <dgm:prSet presAssocID="{F129FDAD-BDAF-4F0A-9BC4-535AB73E2E2A}" presName="comp" presStyleCnt="0"/>
      <dgm:spPr/>
    </dgm:pt>
    <dgm:pt modelId="{44C38F18-4538-4105-995A-AAF1C1D4E0D2}" type="pres">
      <dgm:prSet presAssocID="{F129FDAD-BDAF-4F0A-9BC4-535AB73E2E2A}" presName="box" presStyleLbl="node1" presStyleIdx="10" presStyleCnt="14" custScaleX="99979" custScaleY="225028" custLinFactNeighborX="-2756" custLinFactNeighborY="-7689"/>
      <dgm:spPr/>
      <dgm:t>
        <a:bodyPr/>
        <a:lstStyle/>
        <a:p>
          <a:endParaRPr lang="en-US"/>
        </a:p>
      </dgm:t>
    </dgm:pt>
    <dgm:pt modelId="{97C96F5F-1D42-4C18-BD9C-3693C6046BF5}" type="pres">
      <dgm:prSet presAssocID="{F129FDAD-BDAF-4F0A-9BC4-535AB73E2E2A}" presName="img" presStyleLbl="fgImgPlace1" presStyleIdx="10" presStyleCnt="14" custScaleX="152539" custScaleY="220956" custLinFactNeighborX="30224" custLinFactNeighborY="-49773"/>
      <dgm:spPr>
        <a:blipFill rotWithShape="1">
          <a:blip xmlns:r="http://schemas.openxmlformats.org/officeDocument/2006/relationships" r:embed="rId11"/>
          <a:stretch>
            <a:fillRect/>
          </a:stretch>
        </a:blipFill>
      </dgm:spPr>
      <dgm:t>
        <a:bodyPr/>
        <a:lstStyle/>
        <a:p>
          <a:endParaRPr lang="en-US"/>
        </a:p>
      </dgm:t>
    </dgm:pt>
    <dgm:pt modelId="{4614B948-2FBB-4EF4-A68A-258BB706246C}" type="pres">
      <dgm:prSet presAssocID="{F129FDAD-BDAF-4F0A-9BC4-535AB73E2E2A}" presName="text" presStyleLbl="node1" presStyleIdx="10" presStyleCnt="14">
        <dgm:presLayoutVars>
          <dgm:bulletEnabled val="1"/>
        </dgm:presLayoutVars>
      </dgm:prSet>
      <dgm:spPr/>
      <dgm:t>
        <a:bodyPr/>
        <a:lstStyle/>
        <a:p>
          <a:endParaRPr lang="en-US"/>
        </a:p>
      </dgm:t>
    </dgm:pt>
    <dgm:pt modelId="{2E293194-2CD6-413A-B2DD-587967C88B8C}" type="pres">
      <dgm:prSet presAssocID="{F81C269F-BDDF-421B-BB93-21D57653CB04}" presName="spacer" presStyleCnt="0"/>
      <dgm:spPr/>
    </dgm:pt>
    <dgm:pt modelId="{B40999F8-E60C-45B5-86E5-E7977144B873}" type="pres">
      <dgm:prSet presAssocID="{B6A82A44-87CA-4C64-B046-F01FD7064A76}" presName="comp" presStyleCnt="0"/>
      <dgm:spPr/>
    </dgm:pt>
    <dgm:pt modelId="{8DC22ED9-C812-4BFB-B8ED-6E8C79EA8BCD}" type="pres">
      <dgm:prSet presAssocID="{B6A82A44-87CA-4C64-B046-F01FD7064A76}" presName="box" presStyleLbl="node1" presStyleIdx="11" presStyleCnt="14" custScaleX="99979" custScaleY="225028" custLinFactNeighborX="-2756" custLinFactNeighborY="-7689"/>
      <dgm:spPr/>
      <dgm:t>
        <a:bodyPr/>
        <a:lstStyle/>
        <a:p>
          <a:endParaRPr lang="en-US"/>
        </a:p>
      </dgm:t>
    </dgm:pt>
    <dgm:pt modelId="{878AAB14-F36F-4A79-AD5D-FD1C7D683156}" type="pres">
      <dgm:prSet presAssocID="{B6A82A44-87CA-4C64-B046-F01FD7064A76}" presName="img" presStyleLbl="fgImgPlace1" presStyleIdx="11" presStyleCnt="14" custScaleX="152539" custScaleY="220956" custLinFactNeighborX="28785" custLinFactNeighborY="-54929"/>
      <dgm:spPr>
        <a:blipFill rotWithShape="1">
          <a:blip xmlns:r="http://schemas.openxmlformats.org/officeDocument/2006/relationships" r:embed="rId12"/>
          <a:stretch>
            <a:fillRect/>
          </a:stretch>
        </a:blipFill>
      </dgm:spPr>
      <dgm:t>
        <a:bodyPr/>
        <a:lstStyle/>
        <a:p>
          <a:endParaRPr lang="en-US"/>
        </a:p>
      </dgm:t>
    </dgm:pt>
    <dgm:pt modelId="{3C00ACF2-BA59-470B-AE0C-AF40460902CA}" type="pres">
      <dgm:prSet presAssocID="{B6A82A44-87CA-4C64-B046-F01FD7064A76}" presName="text" presStyleLbl="node1" presStyleIdx="11" presStyleCnt="14">
        <dgm:presLayoutVars>
          <dgm:bulletEnabled val="1"/>
        </dgm:presLayoutVars>
      </dgm:prSet>
      <dgm:spPr/>
      <dgm:t>
        <a:bodyPr/>
        <a:lstStyle/>
        <a:p>
          <a:endParaRPr lang="en-US"/>
        </a:p>
      </dgm:t>
    </dgm:pt>
    <dgm:pt modelId="{AE3EB67A-1372-44F0-A072-AD88F8E4D4C1}" type="pres">
      <dgm:prSet presAssocID="{F6AB728C-6216-46F7-9120-775B752E357C}" presName="spacer" presStyleCnt="0"/>
      <dgm:spPr/>
    </dgm:pt>
    <dgm:pt modelId="{43EC822D-30A6-4379-92AA-B4E1FC4FA8B4}" type="pres">
      <dgm:prSet presAssocID="{4D04E443-452C-4FEB-B1CB-86641EA7E5F3}" presName="comp" presStyleCnt="0"/>
      <dgm:spPr/>
    </dgm:pt>
    <dgm:pt modelId="{D96A8D96-A0B8-4328-B19B-90EE28D016AA}" type="pres">
      <dgm:prSet presAssocID="{4D04E443-452C-4FEB-B1CB-86641EA7E5F3}" presName="box" presStyleLbl="node1" presStyleIdx="12" presStyleCnt="14" custScaleX="100000" custScaleY="232377" custLinFactNeighborX="-2245"/>
      <dgm:spPr/>
      <dgm:t>
        <a:bodyPr/>
        <a:lstStyle/>
        <a:p>
          <a:endParaRPr lang="en-US"/>
        </a:p>
      </dgm:t>
    </dgm:pt>
    <dgm:pt modelId="{76150A01-5447-43E2-B0A0-23839305108C}" type="pres">
      <dgm:prSet presAssocID="{4D04E443-452C-4FEB-B1CB-86641EA7E5F3}" presName="img" presStyleLbl="fgImgPlace1" presStyleIdx="12" presStyleCnt="14" custScaleX="149223" custScaleY="188127" custLinFactNeighborX="31088" custLinFactNeighborY="-6532"/>
      <dgm:spPr>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dgm:spPr>
      <dgm:t>
        <a:bodyPr/>
        <a:lstStyle/>
        <a:p>
          <a:endParaRPr lang="en-US"/>
        </a:p>
      </dgm:t>
    </dgm:pt>
    <dgm:pt modelId="{51A39D9C-E304-46C5-9F7F-6B50ED9C9F14}" type="pres">
      <dgm:prSet presAssocID="{4D04E443-452C-4FEB-B1CB-86641EA7E5F3}" presName="text" presStyleLbl="node1" presStyleIdx="12" presStyleCnt="14">
        <dgm:presLayoutVars>
          <dgm:bulletEnabled val="1"/>
        </dgm:presLayoutVars>
      </dgm:prSet>
      <dgm:spPr/>
      <dgm:t>
        <a:bodyPr/>
        <a:lstStyle/>
        <a:p>
          <a:endParaRPr lang="en-US"/>
        </a:p>
      </dgm:t>
    </dgm:pt>
    <dgm:pt modelId="{4ACAE84A-BA9C-4264-AFC8-7976C6419C5A}" type="pres">
      <dgm:prSet presAssocID="{73047985-2CC6-4753-9EAD-0556724B8FC0}" presName="spacer" presStyleCnt="0"/>
      <dgm:spPr/>
    </dgm:pt>
    <dgm:pt modelId="{A907B1BA-274D-40CE-BB51-7B7A0B7DFE94}" type="pres">
      <dgm:prSet presAssocID="{7EFBCF96-FA0E-424F-9F79-A1026DABF2ED}" presName="comp" presStyleCnt="0"/>
      <dgm:spPr/>
    </dgm:pt>
    <dgm:pt modelId="{D332D99E-D4EA-4A99-AA9C-C97B3062F231}" type="pres">
      <dgm:prSet presAssocID="{7EFBCF96-FA0E-424F-9F79-A1026DABF2ED}" presName="box" presStyleLbl="node1" presStyleIdx="13" presStyleCnt="14" custScaleX="99979" custScaleY="232585" custLinFactNeighborX="-2756" custLinFactNeighborY="-7689"/>
      <dgm:spPr/>
      <dgm:t>
        <a:bodyPr/>
        <a:lstStyle/>
        <a:p>
          <a:endParaRPr lang="en-US"/>
        </a:p>
      </dgm:t>
    </dgm:pt>
    <dgm:pt modelId="{7A12BD99-AD59-4920-AE9D-43930551E1FA}" type="pres">
      <dgm:prSet presAssocID="{7EFBCF96-FA0E-424F-9F79-A1026DABF2ED}" presName="img" presStyleLbl="fgImgPlace1" presStyleIdx="13" presStyleCnt="14" custScaleX="152539" custScaleY="220956" custLinFactNeighborX="31665" custLinFactNeighborY="-9394"/>
      <dgm:spPr>
        <a:blipFill rotWithShape="1">
          <a:blip xmlns:r="http://schemas.openxmlformats.org/officeDocument/2006/relationships" r:embed="rId15"/>
          <a:stretch>
            <a:fillRect/>
          </a:stretch>
        </a:blipFill>
      </dgm:spPr>
      <dgm:t>
        <a:bodyPr/>
        <a:lstStyle/>
        <a:p>
          <a:endParaRPr lang="en-US"/>
        </a:p>
      </dgm:t>
    </dgm:pt>
    <dgm:pt modelId="{7F7C04FF-5F0C-49AD-9F47-712F19512690}" type="pres">
      <dgm:prSet presAssocID="{7EFBCF96-FA0E-424F-9F79-A1026DABF2ED}" presName="text" presStyleLbl="node1" presStyleIdx="13" presStyleCnt="14">
        <dgm:presLayoutVars>
          <dgm:bulletEnabled val="1"/>
        </dgm:presLayoutVars>
      </dgm:prSet>
      <dgm:spPr/>
      <dgm:t>
        <a:bodyPr/>
        <a:lstStyle/>
        <a:p>
          <a:endParaRPr lang="en-US"/>
        </a:p>
      </dgm:t>
    </dgm:pt>
  </dgm:ptLst>
  <dgm:cxnLst>
    <dgm:cxn modelId="{82D76F1D-1D0F-45A0-81FF-EA8F1C76D2D1}" srcId="{C83B15B4-87E4-40A7-9009-464DE2E1175B}" destId="{F0E0A6F7-6757-4087-B1C6-339DC61577DE}" srcOrd="5" destOrd="0" parTransId="{C1F32B13-1291-46CE-92CE-FCDCF90E7D6F}" sibTransId="{D7542798-0382-4A55-9A2A-95463144BCE8}"/>
    <dgm:cxn modelId="{5F4DC3C2-6E3C-4E97-8AB4-A34FA2EAA311}" type="presOf" srcId="{9E7EBAEC-4D4A-4C65-A1A4-93B0B0066920}" destId="{FFC996BF-0DEC-4FE8-A675-4596BE5BADBF}" srcOrd="0" destOrd="0" presId="urn:microsoft.com/office/officeart/2005/8/layout/vList4#1"/>
    <dgm:cxn modelId="{6F3CBF06-A077-40BE-82BC-9D17EE26A323}" type="presOf" srcId="{F3EFB582-76BB-41F8-AA70-4FE512FD1315}" destId="{88327136-7A2E-4A25-A677-E1EAF7983234}" srcOrd="0" destOrd="0" presId="urn:microsoft.com/office/officeart/2005/8/layout/vList4#1"/>
    <dgm:cxn modelId="{482559EC-F287-41C0-BC61-115B941CF85B}" type="presOf" srcId="{92F94355-11A4-4501-8066-DA859E2C1482}" destId="{E0E2F721-C4EC-47CD-BFF7-7E67B68952CD}" srcOrd="1" destOrd="0" presId="urn:microsoft.com/office/officeart/2005/8/layout/vList4#1"/>
    <dgm:cxn modelId="{6C3D33F8-98C6-41FA-9D1E-E16978F03490}" type="presOf" srcId="{B6A82A44-87CA-4C64-B046-F01FD7064A76}" destId="{3C00ACF2-BA59-470B-AE0C-AF40460902CA}" srcOrd="1" destOrd="0" presId="urn:microsoft.com/office/officeart/2005/8/layout/vList4#1"/>
    <dgm:cxn modelId="{92175C77-7F61-4D15-B748-1B646D88C6BC}" srcId="{C83B15B4-87E4-40A7-9009-464DE2E1175B}" destId="{025A8C45-74FE-40BD-A50C-60E2475984A3}" srcOrd="6" destOrd="0" parTransId="{49444E70-8AD2-4B27-8B2F-DD456001BE4F}" sibTransId="{619A3783-52FB-4FAC-8381-2B139BEF8BC3}"/>
    <dgm:cxn modelId="{77143E25-86B9-451F-9954-6093A67A1032}" type="presOf" srcId="{01E7A53A-5206-4585-AEDD-F0594AC91C46}" destId="{76499F8B-E252-4B9E-8F63-9FDA6D5E4CD1}" srcOrd="1" destOrd="0" presId="urn:microsoft.com/office/officeart/2005/8/layout/vList4#1"/>
    <dgm:cxn modelId="{6CD524A2-9EB9-420C-9CA8-4668CEE08DFD}" type="presOf" srcId="{AEA27930-9A22-47F3-93DD-A6E344308F0E}" destId="{E2B764E2-7605-4980-8938-1E64F6592750}" srcOrd="0" destOrd="0" presId="urn:microsoft.com/office/officeart/2005/8/layout/vList4#1"/>
    <dgm:cxn modelId="{975B0C5A-BD39-41B7-9F6D-1154C2A4163F}" type="presOf" srcId="{F0E0A6F7-6757-4087-B1C6-339DC61577DE}" destId="{AC863AB0-1912-4840-8A3A-CC2A9B974A14}" srcOrd="1" destOrd="0" presId="urn:microsoft.com/office/officeart/2005/8/layout/vList4#1"/>
    <dgm:cxn modelId="{3DAD26FA-3D6C-499A-B3EA-6DFCF49B7BC0}" type="presOf" srcId="{1822D67B-CA56-4A1B-BA5D-BA5AAD79E2A3}" destId="{5B466564-F692-4FEA-8E22-33E0DD3A8CD1}" srcOrd="0" destOrd="0" presId="urn:microsoft.com/office/officeart/2005/8/layout/vList4#1"/>
    <dgm:cxn modelId="{E983355A-D71F-425D-82E4-4F1E79B6E3B1}" srcId="{C83B15B4-87E4-40A7-9009-464DE2E1175B}" destId="{4D04E443-452C-4FEB-B1CB-86641EA7E5F3}" srcOrd="12" destOrd="0" parTransId="{24E60746-8D41-43C5-83C1-7E89ADEEDCB2}" sibTransId="{73047985-2CC6-4753-9EAD-0556724B8FC0}"/>
    <dgm:cxn modelId="{FA2473A7-2F1C-4761-A3E7-8DDA58F94739}" type="presOf" srcId="{808AFCF1-C8D1-4556-9361-063D813524F2}" destId="{B966B89E-844E-4C32-B108-722A6FC46422}" srcOrd="1" destOrd="0" presId="urn:microsoft.com/office/officeart/2005/8/layout/vList4#1"/>
    <dgm:cxn modelId="{2FBB5C4B-2ABC-4933-94EC-CDF9F79A5C00}" type="presOf" srcId="{4D04E443-452C-4FEB-B1CB-86641EA7E5F3}" destId="{D96A8D96-A0B8-4328-B19B-90EE28D016AA}" srcOrd="0" destOrd="0" presId="urn:microsoft.com/office/officeart/2005/8/layout/vList4#1"/>
    <dgm:cxn modelId="{A51A59F5-D99C-4556-83CA-639278CC2A52}" type="presOf" srcId="{01E7A53A-5206-4585-AEDD-F0594AC91C46}" destId="{1FDF5E49-FE72-4652-BC5A-06E5A9756DB0}" srcOrd="0" destOrd="0" presId="urn:microsoft.com/office/officeart/2005/8/layout/vList4#1"/>
    <dgm:cxn modelId="{EBF3577E-4F2C-4921-A0F9-43F8D632BFBA}" srcId="{C83B15B4-87E4-40A7-9009-464DE2E1175B}" destId="{92F94355-11A4-4501-8066-DA859E2C1482}" srcOrd="7" destOrd="0" parTransId="{A9DA473A-87DE-449B-A1D8-1D7E52A3992F}" sibTransId="{67C90755-4212-417D-8A50-0AD743EB559A}"/>
    <dgm:cxn modelId="{7F877ECD-1988-47B9-AA9A-EAF73D924707}" srcId="{C83B15B4-87E4-40A7-9009-464DE2E1175B}" destId="{01E7A53A-5206-4585-AEDD-F0594AC91C46}" srcOrd="8" destOrd="0" parTransId="{86C890C9-8EDE-4499-9A7B-127BA416F0C1}" sibTransId="{A43EF0BC-023B-4525-AC05-4934BBECFB83}"/>
    <dgm:cxn modelId="{00B882EA-0264-439C-B63C-6DB869D33CD4}" type="presOf" srcId="{025A8C45-74FE-40BD-A50C-60E2475984A3}" destId="{15B4184F-7096-4EA0-AD3C-00B43A74DD22}" srcOrd="0" destOrd="0" presId="urn:microsoft.com/office/officeart/2005/8/layout/vList4#1"/>
    <dgm:cxn modelId="{335963DA-6544-4B9D-A4E8-48F0CA50742E}" srcId="{C83B15B4-87E4-40A7-9009-464DE2E1175B}" destId="{AEA27930-9A22-47F3-93DD-A6E344308F0E}" srcOrd="9" destOrd="0" parTransId="{D50A2EC1-44E6-4B5D-8C43-94D9E74FC9BA}" sibTransId="{413C8575-093B-4E1E-B68E-CD68440F8DD5}"/>
    <dgm:cxn modelId="{852A3923-95DE-498B-894B-9676E16B3188}" type="presOf" srcId="{F129FDAD-BDAF-4F0A-9BC4-535AB73E2E2A}" destId="{44C38F18-4538-4105-995A-AAF1C1D4E0D2}" srcOrd="0" destOrd="0" presId="urn:microsoft.com/office/officeart/2005/8/layout/vList4#1"/>
    <dgm:cxn modelId="{93AD5428-FE1B-4F9C-838C-F920061315A5}" srcId="{C83B15B4-87E4-40A7-9009-464DE2E1175B}" destId="{F3EFB582-76BB-41F8-AA70-4FE512FD1315}" srcOrd="1" destOrd="0" parTransId="{E89D16FC-F862-42F5-A488-7F3EBC332D7B}" sibTransId="{5BA13CF1-8586-48C2-8EFF-71BCF333FD6D}"/>
    <dgm:cxn modelId="{DD5007AC-5991-44D3-9463-B420E32CD0B7}" type="presOf" srcId="{4D04E443-452C-4FEB-B1CB-86641EA7E5F3}" destId="{51A39D9C-E304-46C5-9F7F-6B50ED9C9F14}" srcOrd="1" destOrd="0" presId="urn:microsoft.com/office/officeart/2005/8/layout/vList4#1"/>
    <dgm:cxn modelId="{72FBBBE7-A61C-4649-9B8C-4231A5C39F17}" type="presOf" srcId="{F3EFB582-76BB-41F8-AA70-4FE512FD1315}" destId="{9D927A25-D81C-4E9C-8B9A-E9CCE686573F}" srcOrd="1" destOrd="0" presId="urn:microsoft.com/office/officeart/2005/8/layout/vList4#1"/>
    <dgm:cxn modelId="{E4C820E5-C4CD-4C71-85B6-FDDFBBDE1133}" srcId="{C83B15B4-87E4-40A7-9009-464DE2E1175B}" destId="{808AFCF1-C8D1-4556-9361-063D813524F2}" srcOrd="4" destOrd="0" parTransId="{5364C67A-7A57-4E86-89FA-96A6937A3FDB}" sibTransId="{4B1065BF-95E0-458C-AE0D-AB53F9C64CD6}"/>
    <dgm:cxn modelId="{8BAA768C-87BF-45DF-80FA-1B07909DF5AA}" type="presOf" srcId="{F0E0A6F7-6757-4087-B1C6-339DC61577DE}" destId="{5956E3E6-D2AA-4264-8C4E-434F82578DE7}" srcOrd="0" destOrd="0" presId="urn:microsoft.com/office/officeart/2005/8/layout/vList4#1"/>
    <dgm:cxn modelId="{24D42B76-1C91-4F43-AE4D-60CCC4A732EB}" type="presOf" srcId="{808AFCF1-C8D1-4556-9361-063D813524F2}" destId="{BB1DC7A9-75CD-4F22-8F92-71B216BA6403}" srcOrd="0" destOrd="0" presId="urn:microsoft.com/office/officeart/2005/8/layout/vList4#1"/>
    <dgm:cxn modelId="{4B521F64-DBA4-4501-A429-06A1584FA9B5}" srcId="{C83B15B4-87E4-40A7-9009-464DE2E1175B}" destId="{1822D67B-CA56-4A1B-BA5D-BA5AAD79E2A3}" srcOrd="0" destOrd="0" parTransId="{D14DD12C-A5F5-4000-84D3-D8F6B34030F8}" sibTransId="{FFFF98B0-0D3E-45AA-BE3B-EA719B6552DD}"/>
    <dgm:cxn modelId="{366D61F6-5927-476F-B2CB-9B1E246429AB}" srcId="{C83B15B4-87E4-40A7-9009-464DE2E1175B}" destId="{9E7EBAEC-4D4A-4C65-A1A4-93B0B0066920}" srcOrd="2" destOrd="0" parTransId="{50579F19-9EFF-4B8D-9BD6-7F74A554323D}" sibTransId="{BF4B6D51-D7F5-4046-B8E9-9DA5D6159DE7}"/>
    <dgm:cxn modelId="{10B55C01-2DFC-42C8-9BE5-5D6317E283E8}" type="presOf" srcId="{7EFBCF96-FA0E-424F-9F79-A1026DABF2ED}" destId="{7F7C04FF-5F0C-49AD-9F47-712F19512690}" srcOrd="1" destOrd="0" presId="urn:microsoft.com/office/officeart/2005/8/layout/vList4#1"/>
    <dgm:cxn modelId="{F5E3041A-2611-459C-925D-05FCF0CC8546}" srcId="{C83B15B4-87E4-40A7-9009-464DE2E1175B}" destId="{0D8FA793-B562-4FF1-BB3A-D87F1FC4997C}" srcOrd="3" destOrd="0" parTransId="{7BC9D641-FE48-4599-8BAE-FFCC1A55273D}" sibTransId="{E7112053-C381-4477-BBF3-77848A20E65A}"/>
    <dgm:cxn modelId="{63D0324B-9702-4FD8-8715-0735C73709AD}" type="presOf" srcId="{C83B15B4-87E4-40A7-9009-464DE2E1175B}" destId="{8615C6C2-9BD7-4293-885E-EA3A1FFD4F8D}" srcOrd="0" destOrd="0" presId="urn:microsoft.com/office/officeart/2005/8/layout/vList4#1"/>
    <dgm:cxn modelId="{ACC95C8C-FEDD-47E8-B39F-DBB10B704945}" srcId="{C83B15B4-87E4-40A7-9009-464DE2E1175B}" destId="{7EFBCF96-FA0E-424F-9F79-A1026DABF2ED}" srcOrd="13" destOrd="0" parTransId="{BDE7584C-25AE-482A-93A8-3BB3BC4125D8}" sibTransId="{69DFA8A6-2C05-4A19-B43B-D909F54ABC63}"/>
    <dgm:cxn modelId="{23E745A0-6064-4412-B73A-737B235C9A95}" srcId="{C83B15B4-87E4-40A7-9009-464DE2E1175B}" destId="{B6A82A44-87CA-4C64-B046-F01FD7064A76}" srcOrd="11" destOrd="0" parTransId="{AD5A8BE9-4965-4420-BD3B-1F6F4080EB72}" sibTransId="{F6AB728C-6216-46F7-9120-775B752E357C}"/>
    <dgm:cxn modelId="{7217E7C7-7971-45EA-A720-074EA821BBE1}" type="presOf" srcId="{9E7EBAEC-4D4A-4C65-A1A4-93B0B0066920}" destId="{DC755C3A-4690-4C13-A5BB-689A420ACB58}" srcOrd="1" destOrd="0" presId="urn:microsoft.com/office/officeart/2005/8/layout/vList4#1"/>
    <dgm:cxn modelId="{2669C97B-8AD5-427A-95F6-C8816E16E9A0}" srcId="{C83B15B4-87E4-40A7-9009-464DE2E1175B}" destId="{F129FDAD-BDAF-4F0A-9BC4-535AB73E2E2A}" srcOrd="10" destOrd="0" parTransId="{FBFD0935-A53F-47E3-8295-84604810449F}" sibTransId="{F81C269F-BDDF-421B-BB93-21D57653CB04}"/>
    <dgm:cxn modelId="{DAC86BF8-90BC-44C2-9E3C-F8DD9DC8D27C}" type="presOf" srcId="{0D8FA793-B562-4FF1-BB3A-D87F1FC4997C}" destId="{50BF3C24-C926-4754-8D6A-B2A90BC7F950}" srcOrd="1" destOrd="0" presId="urn:microsoft.com/office/officeart/2005/8/layout/vList4#1"/>
    <dgm:cxn modelId="{E248F490-8CF9-4A92-9F32-0BE5C7AE98DF}" type="presOf" srcId="{AEA27930-9A22-47F3-93DD-A6E344308F0E}" destId="{3319DB0A-AB96-4E19-AE96-831CC150DBDC}" srcOrd="1" destOrd="0" presId="urn:microsoft.com/office/officeart/2005/8/layout/vList4#1"/>
    <dgm:cxn modelId="{731182CB-D751-4D08-8377-3B2DE5324279}" type="presOf" srcId="{0D8FA793-B562-4FF1-BB3A-D87F1FC4997C}" destId="{11BDFC4B-EE21-434A-9789-43A1074BAB79}" srcOrd="0" destOrd="0" presId="urn:microsoft.com/office/officeart/2005/8/layout/vList4#1"/>
    <dgm:cxn modelId="{2D949024-4F30-442B-A3A0-BBD629748F09}" type="presOf" srcId="{7EFBCF96-FA0E-424F-9F79-A1026DABF2ED}" destId="{D332D99E-D4EA-4A99-AA9C-C97B3062F231}" srcOrd="0" destOrd="0" presId="urn:microsoft.com/office/officeart/2005/8/layout/vList4#1"/>
    <dgm:cxn modelId="{7184838C-1CF9-4F87-AC30-0AE30918C0F9}" type="presOf" srcId="{92F94355-11A4-4501-8066-DA859E2C1482}" destId="{60F14B07-2B22-421D-9A14-A443B38C2AD6}" srcOrd="0" destOrd="0" presId="urn:microsoft.com/office/officeart/2005/8/layout/vList4#1"/>
    <dgm:cxn modelId="{8C1E3045-C534-4924-9648-591E9419E178}" type="presOf" srcId="{B6A82A44-87CA-4C64-B046-F01FD7064A76}" destId="{8DC22ED9-C812-4BFB-B8ED-6E8C79EA8BCD}" srcOrd="0" destOrd="0" presId="urn:microsoft.com/office/officeart/2005/8/layout/vList4#1"/>
    <dgm:cxn modelId="{C26D950D-B55F-4296-9FE3-9BA41FDFAC41}" type="presOf" srcId="{1822D67B-CA56-4A1B-BA5D-BA5AAD79E2A3}" destId="{2A5D54BF-3C2A-4B32-92B2-D80D3525F769}" srcOrd="1" destOrd="0" presId="urn:microsoft.com/office/officeart/2005/8/layout/vList4#1"/>
    <dgm:cxn modelId="{D3B73362-622C-463C-AFF2-8EFCE510B02D}" type="presOf" srcId="{025A8C45-74FE-40BD-A50C-60E2475984A3}" destId="{B35F4490-62E3-48D9-AF1A-47DD7F295DFE}" srcOrd="1" destOrd="0" presId="urn:microsoft.com/office/officeart/2005/8/layout/vList4#1"/>
    <dgm:cxn modelId="{44C5FFE2-7C69-4682-A2C2-B9338DDBC341}" type="presOf" srcId="{F129FDAD-BDAF-4F0A-9BC4-535AB73E2E2A}" destId="{4614B948-2FBB-4EF4-A68A-258BB706246C}" srcOrd="1" destOrd="0" presId="urn:microsoft.com/office/officeart/2005/8/layout/vList4#1"/>
    <dgm:cxn modelId="{C0B0F780-6EAD-4BC0-9642-8BC6BDF85929}" type="presParOf" srcId="{8615C6C2-9BD7-4293-885E-EA3A1FFD4F8D}" destId="{178A7017-80E5-44B7-949C-40DA92FB45F3}" srcOrd="0" destOrd="0" presId="urn:microsoft.com/office/officeart/2005/8/layout/vList4#1"/>
    <dgm:cxn modelId="{70D0AD1C-8A5A-4C71-834E-4ADFFE74F73D}" type="presParOf" srcId="{178A7017-80E5-44B7-949C-40DA92FB45F3}" destId="{5B466564-F692-4FEA-8E22-33E0DD3A8CD1}" srcOrd="0" destOrd="0" presId="urn:microsoft.com/office/officeart/2005/8/layout/vList4#1"/>
    <dgm:cxn modelId="{2BE7367C-E80E-4BD9-B525-8FB49731FAAE}" type="presParOf" srcId="{178A7017-80E5-44B7-949C-40DA92FB45F3}" destId="{E0E7BF65-5A79-4714-AC49-87C5301B12EA}" srcOrd="1" destOrd="0" presId="urn:microsoft.com/office/officeart/2005/8/layout/vList4#1"/>
    <dgm:cxn modelId="{31E0CD30-8372-4252-94C3-63CA2A34E535}" type="presParOf" srcId="{178A7017-80E5-44B7-949C-40DA92FB45F3}" destId="{2A5D54BF-3C2A-4B32-92B2-D80D3525F769}" srcOrd="2" destOrd="0" presId="urn:microsoft.com/office/officeart/2005/8/layout/vList4#1"/>
    <dgm:cxn modelId="{80A6E8FB-5309-466A-8290-8D783FF2A60A}" type="presParOf" srcId="{8615C6C2-9BD7-4293-885E-EA3A1FFD4F8D}" destId="{A7254A6C-750B-451C-B24C-D9AB182FBCFA}" srcOrd="1" destOrd="0" presId="urn:microsoft.com/office/officeart/2005/8/layout/vList4#1"/>
    <dgm:cxn modelId="{726725E3-0832-472E-8ECB-0A3AD9E1D134}" type="presParOf" srcId="{8615C6C2-9BD7-4293-885E-EA3A1FFD4F8D}" destId="{2A015093-4207-41F0-B6EB-2FB9A9984A85}" srcOrd="2" destOrd="0" presId="urn:microsoft.com/office/officeart/2005/8/layout/vList4#1"/>
    <dgm:cxn modelId="{C66E9EFD-23CA-4BC2-B050-81907ACFDD84}" type="presParOf" srcId="{2A015093-4207-41F0-B6EB-2FB9A9984A85}" destId="{88327136-7A2E-4A25-A677-E1EAF7983234}" srcOrd="0" destOrd="0" presId="urn:microsoft.com/office/officeart/2005/8/layout/vList4#1"/>
    <dgm:cxn modelId="{48809666-CD98-4AC3-9D4A-F81121A533E9}" type="presParOf" srcId="{2A015093-4207-41F0-B6EB-2FB9A9984A85}" destId="{EC63273A-29E9-463E-BE4C-2E0D1E71AFFE}" srcOrd="1" destOrd="0" presId="urn:microsoft.com/office/officeart/2005/8/layout/vList4#1"/>
    <dgm:cxn modelId="{3EEF8378-22CB-4943-A3E0-B0D14EC2EE6D}" type="presParOf" srcId="{2A015093-4207-41F0-B6EB-2FB9A9984A85}" destId="{9D927A25-D81C-4E9C-8B9A-E9CCE686573F}" srcOrd="2" destOrd="0" presId="urn:microsoft.com/office/officeart/2005/8/layout/vList4#1"/>
    <dgm:cxn modelId="{31A9E2CC-4D2A-46C1-B2A4-D3F463FD6AE0}" type="presParOf" srcId="{8615C6C2-9BD7-4293-885E-EA3A1FFD4F8D}" destId="{BF359878-12F7-4DD3-8F21-1EB9FFB63C86}" srcOrd="3" destOrd="0" presId="urn:microsoft.com/office/officeart/2005/8/layout/vList4#1"/>
    <dgm:cxn modelId="{1A68C1F9-2A08-472C-961B-4731DCEC18EB}" type="presParOf" srcId="{8615C6C2-9BD7-4293-885E-EA3A1FFD4F8D}" destId="{36C50E38-39E9-41E3-8ABC-095BFBB830FA}" srcOrd="4" destOrd="0" presId="urn:microsoft.com/office/officeart/2005/8/layout/vList4#1"/>
    <dgm:cxn modelId="{AE970BB3-BD48-4268-8AD6-5D21BB92D716}" type="presParOf" srcId="{36C50E38-39E9-41E3-8ABC-095BFBB830FA}" destId="{FFC996BF-0DEC-4FE8-A675-4596BE5BADBF}" srcOrd="0" destOrd="0" presId="urn:microsoft.com/office/officeart/2005/8/layout/vList4#1"/>
    <dgm:cxn modelId="{30E4F9A2-4D78-4783-BE31-B924C30DC109}" type="presParOf" srcId="{36C50E38-39E9-41E3-8ABC-095BFBB830FA}" destId="{3A31F230-3B83-494A-8B58-73FE5055C100}" srcOrd="1" destOrd="0" presId="urn:microsoft.com/office/officeart/2005/8/layout/vList4#1"/>
    <dgm:cxn modelId="{FB0AD67F-820F-4C52-BB4C-046ABB372E40}" type="presParOf" srcId="{36C50E38-39E9-41E3-8ABC-095BFBB830FA}" destId="{DC755C3A-4690-4C13-A5BB-689A420ACB58}" srcOrd="2" destOrd="0" presId="urn:microsoft.com/office/officeart/2005/8/layout/vList4#1"/>
    <dgm:cxn modelId="{A97F2341-BDED-4F15-A543-05404B6619A6}" type="presParOf" srcId="{8615C6C2-9BD7-4293-885E-EA3A1FFD4F8D}" destId="{620E7E90-7EE3-43F4-AA80-99295A728943}" srcOrd="5" destOrd="0" presId="urn:microsoft.com/office/officeart/2005/8/layout/vList4#1"/>
    <dgm:cxn modelId="{C326DC3C-56BB-448A-8A06-CAA9BE368909}" type="presParOf" srcId="{8615C6C2-9BD7-4293-885E-EA3A1FFD4F8D}" destId="{1ACBE416-F0BA-462B-BBB4-03BCC171FB40}" srcOrd="6" destOrd="0" presId="urn:microsoft.com/office/officeart/2005/8/layout/vList4#1"/>
    <dgm:cxn modelId="{45821BA9-67EE-43E0-BAF2-B9F4D89FF8F7}" type="presParOf" srcId="{1ACBE416-F0BA-462B-BBB4-03BCC171FB40}" destId="{11BDFC4B-EE21-434A-9789-43A1074BAB79}" srcOrd="0" destOrd="0" presId="urn:microsoft.com/office/officeart/2005/8/layout/vList4#1"/>
    <dgm:cxn modelId="{77948A76-DC0D-4F45-85B6-87A4E785D2C7}" type="presParOf" srcId="{1ACBE416-F0BA-462B-BBB4-03BCC171FB40}" destId="{AD8E6D8C-1255-4C05-9F11-59D2A5C1F26B}" srcOrd="1" destOrd="0" presId="urn:microsoft.com/office/officeart/2005/8/layout/vList4#1"/>
    <dgm:cxn modelId="{BFDB8EF2-DEEA-48A4-9AFE-6C8BE473A15E}" type="presParOf" srcId="{1ACBE416-F0BA-462B-BBB4-03BCC171FB40}" destId="{50BF3C24-C926-4754-8D6A-B2A90BC7F950}" srcOrd="2" destOrd="0" presId="urn:microsoft.com/office/officeart/2005/8/layout/vList4#1"/>
    <dgm:cxn modelId="{8E2FB6EA-E25D-4D84-B8FC-0FB499237E17}" type="presParOf" srcId="{8615C6C2-9BD7-4293-885E-EA3A1FFD4F8D}" destId="{B953241F-E817-4257-9D3C-92B2BEEB74DE}" srcOrd="7" destOrd="0" presId="urn:microsoft.com/office/officeart/2005/8/layout/vList4#1"/>
    <dgm:cxn modelId="{E280F28A-F17C-46EC-9F0C-94A257A32889}" type="presParOf" srcId="{8615C6C2-9BD7-4293-885E-EA3A1FFD4F8D}" destId="{48125D84-BF49-44A7-98EE-40A8DFD7C492}" srcOrd="8" destOrd="0" presId="urn:microsoft.com/office/officeart/2005/8/layout/vList4#1"/>
    <dgm:cxn modelId="{588171AE-4C34-4ECB-A6A5-C35337C2C76F}" type="presParOf" srcId="{48125D84-BF49-44A7-98EE-40A8DFD7C492}" destId="{BB1DC7A9-75CD-4F22-8F92-71B216BA6403}" srcOrd="0" destOrd="0" presId="urn:microsoft.com/office/officeart/2005/8/layout/vList4#1"/>
    <dgm:cxn modelId="{FD4BE13F-EC52-4F78-9AAE-C3F7D1D410C8}" type="presParOf" srcId="{48125D84-BF49-44A7-98EE-40A8DFD7C492}" destId="{1DA8D612-89F6-425D-9320-D4A89C632FF0}" srcOrd="1" destOrd="0" presId="urn:microsoft.com/office/officeart/2005/8/layout/vList4#1"/>
    <dgm:cxn modelId="{CCFC2F5C-0436-4D12-93A7-4ACFDCEDB0A8}" type="presParOf" srcId="{48125D84-BF49-44A7-98EE-40A8DFD7C492}" destId="{B966B89E-844E-4C32-B108-722A6FC46422}" srcOrd="2" destOrd="0" presId="urn:microsoft.com/office/officeart/2005/8/layout/vList4#1"/>
    <dgm:cxn modelId="{47BADC01-3F76-4CAD-9F86-28A3F356BB5C}" type="presParOf" srcId="{8615C6C2-9BD7-4293-885E-EA3A1FFD4F8D}" destId="{A5C348C0-B227-44FE-87C5-AAD9615AA90E}" srcOrd="9" destOrd="0" presId="urn:microsoft.com/office/officeart/2005/8/layout/vList4#1"/>
    <dgm:cxn modelId="{883D00F7-CCD4-4949-A1EA-09AB7BB69FB1}" type="presParOf" srcId="{8615C6C2-9BD7-4293-885E-EA3A1FFD4F8D}" destId="{0FC3C479-4ADB-4EE4-B84B-3AA484D8C11E}" srcOrd="10" destOrd="0" presId="urn:microsoft.com/office/officeart/2005/8/layout/vList4#1"/>
    <dgm:cxn modelId="{40E46E7E-DC48-4AAE-A460-F10767009B9E}" type="presParOf" srcId="{0FC3C479-4ADB-4EE4-B84B-3AA484D8C11E}" destId="{5956E3E6-D2AA-4264-8C4E-434F82578DE7}" srcOrd="0" destOrd="0" presId="urn:microsoft.com/office/officeart/2005/8/layout/vList4#1"/>
    <dgm:cxn modelId="{E0C097D6-A059-4C3F-9A6B-8A1CA8495B74}" type="presParOf" srcId="{0FC3C479-4ADB-4EE4-B84B-3AA484D8C11E}" destId="{FC370B0A-A492-4C52-85F1-A4CD636C0E30}" srcOrd="1" destOrd="0" presId="urn:microsoft.com/office/officeart/2005/8/layout/vList4#1"/>
    <dgm:cxn modelId="{69923732-A120-4651-8370-7D2DD69FA9DF}" type="presParOf" srcId="{0FC3C479-4ADB-4EE4-B84B-3AA484D8C11E}" destId="{AC863AB0-1912-4840-8A3A-CC2A9B974A14}" srcOrd="2" destOrd="0" presId="urn:microsoft.com/office/officeart/2005/8/layout/vList4#1"/>
    <dgm:cxn modelId="{BD644789-0F48-4434-805E-4FCEBF0A472E}" type="presParOf" srcId="{8615C6C2-9BD7-4293-885E-EA3A1FFD4F8D}" destId="{19C62E77-A486-45FD-B357-EE6A5E1B292E}" srcOrd="11" destOrd="0" presId="urn:microsoft.com/office/officeart/2005/8/layout/vList4#1"/>
    <dgm:cxn modelId="{AA255AF5-2FDF-484A-B891-DA9DBD904BED}" type="presParOf" srcId="{8615C6C2-9BD7-4293-885E-EA3A1FFD4F8D}" destId="{C91ACABA-1BDF-4DB4-B723-1F4BF1E0514D}" srcOrd="12" destOrd="0" presId="urn:microsoft.com/office/officeart/2005/8/layout/vList4#1"/>
    <dgm:cxn modelId="{4AD0A985-B1D3-45E4-88CE-5203A34998B8}" type="presParOf" srcId="{C91ACABA-1BDF-4DB4-B723-1F4BF1E0514D}" destId="{15B4184F-7096-4EA0-AD3C-00B43A74DD22}" srcOrd="0" destOrd="0" presId="urn:microsoft.com/office/officeart/2005/8/layout/vList4#1"/>
    <dgm:cxn modelId="{78476FD8-7CA0-40B8-85F7-616795CE3C2A}" type="presParOf" srcId="{C91ACABA-1BDF-4DB4-B723-1F4BF1E0514D}" destId="{9446C1C7-9762-4377-BBAF-1E49B698B082}" srcOrd="1" destOrd="0" presId="urn:microsoft.com/office/officeart/2005/8/layout/vList4#1"/>
    <dgm:cxn modelId="{296C2A2C-6415-4170-AC56-7E5FEA5A1A73}" type="presParOf" srcId="{C91ACABA-1BDF-4DB4-B723-1F4BF1E0514D}" destId="{B35F4490-62E3-48D9-AF1A-47DD7F295DFE}" srcOrd="2" destOrd="0" presId="urn:microsoft.com/office/officeart/2005/8/layout/vList4#1"/>
    <dgm:cxn modelId="{29D9E4D8-7103-4528-86B5-29B46F67FD63}" type="presParOf" srcId="{8615C6C2-9BD7-4293-885E-EA3A1FFD4F8D}" destId="{37C2BC10-EA77-4D3E-B6F5-5522B6657CC5}" srcOrd="13" destOrd="0" presId="urn:microsoft.com/office/officeart/2005/8/layout/vList4#1"/>
    <dgm:cxn modelId="{48405053-4114-4720-948F-F0AFA69F25BF}" type="presParOf" srcId="{8615C6C2-9BD7-4293-885E-EA3A1FFD4F8D}" destId="{71647227-6B16-4F95-A172-E6773C328738}" srcOrd="14" destOrd="0" presId="urn:microsoft.com/office/officeart/2005/8/layout/vList4#1"/>
    <dgm:cxn modelId="{3F9BA0E4-8FD0-45D7-9CAF-E951E7D11FCF}" type="presParOf" srcId="{71647227-6B16-4F95-A172-E6773C328738}" destId="{60F14B07-2B22-421D-9A14-A443B38C2AD6}" srcOrd="0" destOrd="0" presId="urn:microsoft.com/office/officeart/2005/8/layout/vList4#1"/>
    <dgm:cxn modelId="{E0145FA6-A08D-4949-A528-BC3BFF06C1F4}" type="presParOf" srcId="{71647227-6B16-4F95-A172-E6773C328738}" destId="{63FCC9E2-DD5B-4CFE-9DC4-3A26A0071E71}" srcOrd="1" destOrd="0" presId="urn:microsoft.com/office/officeart/2005/8/layout/vList4#1"/>
    <dgm:cxn modelId="{5C1E2936-B089-4E63-B682-D2B446C89875}" type="presParOf" srcId="{71647227-6B16-4F95-A172-E6773C328738}" destId="{E0E2F721-C4EC-47CD-BFF7-7E67B68952CD}" srcOrd="2" destOrd="0" presId="urn:microsoft.com/office/officeart/2005/8/layout/vList4#1"/>
    <dgm:cxn modelId="{0B56CED0-AF36-4338-A727-F4CCD78CF4FF}" type="presParOf" srcId="{8615C6C2-9BD7-4293-885E-EA3A1FFD4F8D}" destId="{8B537B3D-E800-484D-8386-46FD9DDBA316}" srcOrd="15" destOrd="0" presId="urn:microsoft.com/office/officeart/2005/8/layout/vList4#1"/>
    <dgm:cxn modelId="{893F9B03-25B3-4133-A4CC-58880438A0C0}" type="presParOf" srcId="{8615C6C2-9BD7-4293-885E-EA3A1FFD4F8D}" destId="{E932EDE7-0CB5-46FD-8454-F1C64C099D55}" srcOrd="16" destOrd="0" presId="urn:microsoft.com/office/officeart/2005/8/layout/vList4#1"/>
    <dgm:cxn modelId="{89FD8907-7E92-4337-9A17-10749104504D}" type="presParOf" srcId="{E932EDE7-0CB5-46FD-8454-F1C64C099D55}" destId="{1FDF5E49-FE72-4652-BC5A-06E5A9756DB0}" srcOrd="0" destOrd="0" presId="urn:microsoft.com/office/officeart/2005/8/layout/vList4#1"/>
    <dgm:cxn modelId="{05FCAF38-DD64-43C4-931F-CB279D6BAF65}" type="presParOf" srcId="{E932EDE7-0CB5-46FD-8454-F1C64C099D55}" destId="{BFA31256-8A55-4D73-88AC-51FB5E9ADF0C}" srcOrd="1" destOrd="0" presId="urn:microsoft.com/office/officeart/2005/8/layout/vList4#1"/>
    <dgm:cxn modelId="{DD7C4733-3BD7-450E-B2C2-46B04256F9CC}" type="presParOf" srcId="{E932EDE7-0CB5-46FD-8454-F1C64C099D55}" destId="{76499F8B-E252-4B9E-8F63-9FDA6D5E4CD1}" srcOrd="2" destOrd="0" presId="urn:microsoft.com/office/officeart/2005/8/layout/vList4#1"/>
    <dgm:cxn modelId="{4A1B4EA3-C3E1-46EF-AF50-C6BEBD116025}" type="presParOf" srcId="{8615C6C2-9BD7-4293-885E-EA3A1FFD4F8D}" destId="{F2F27777-9186-4244-9BB2-4E6E782B4A62}" srcOrd="17" destOrd="0" presId="urn:microsoft.com/office/officeart/2005/8/layout/vList4#1"/>
    <dgm:cxn modelId="{4A0F7C83-F26A-458B-A15F-53D8BE08ED19}" type="presParOf" srcId="{8615C6C2-9BD7-4293-885E-EA3A1FFD4F8D}" destId="{9144EC92-4DE1-4D4C-A685-645879C86BC1}" srcOrd="18" destOrd="0" presId="urn:microsoft.com/office/officeart/2005/8/layout/vList4#1"/>
    <dgm:cxn modelId="{83722CBF-0EB5-46BD-89FE-7BEB349290CF}" type="presParOf" srcId="{9144EC92-4DE1-4D4C-A685-645879C86BC1}" destId="{E2B764E2-7605-4980-8938-1E64F6592750}" srcOrd="0" destOrd="0" presId="urn:microsoft.com/office/officeart/2005/8/layout/vList4#1"/>
    <dgm:cxn modelId="{D26BB650-54C9-4553-82B9-1848838A8302}" type="presParOf" srcId="{9144EC92-4DE1-4D4C-A685-645879C86BC1}" destId="{11486A67-EB43-4BC3-B30B-F0CA4406497E}" srcOrd="1" destOrd="0" presId="urn:microsoft.com/office/officeart/2005/8/layout/vList4#1"/>
    <dgm:cxn modelId="{0EAFB22C-32E4-4059-84CA-9CCE190F37C8}" type="presParOf" srcId="{9144EC92-4DE1-4D4C-A685-645879C86BC1}" destId="{3319DB0A-AB96-4E19-AE96-831CC150DBDC}" srcOrd="2" destOrd="0" presId="urn:microsoft.com/office/officeart/2005/8/layout/vList4#1"/>
    <dgm:cxn modelId="{E2CCC63F-54F2-4222-8487-9CB0C0EB8935}" type="presParOf" srcId="{8615C6C2-9BD7-4293-885E-EA3A1FFD4F8D}" destId="{F37ABD07-CD7E-4C2B-99D1-36857B5467B2}" srcOrd="19" destOrd="0" presId="urn:microsoft.com/office/officeart/2005/8/layout/vList4#1"/>
    <dgm:cxn modelId="{70DCB16A-98F8-42F9-88FF-E05B6751EF91}" type="presParOf" srcId="{8615C6C2-9BD7-4293-885E-EA3A1FFD4F8D}" destId="{60B841B5-4E80-4CAE-B3C5-8D012F90D1B8}" srcOrd="20" destOrd="0" presId="urn:microsoft.com/office/officeart/2005/8/layout/vList4#1"/>
    <dgm:cxn modelId="{A1DFB3AC-CBF9-43F9-8D16-BFCB220F6C27}" type="presParOf" srcId="{60B841B5-4E80-4CAE-B3C5-8D012F90D1B8}" destId="{44C38F18-4538-4105-995A-AAF1C1D4E0D2}" srcOrd="0" destOrd="0" presId="urn:microsoft.com/office/officeart/2005/8/layout/vList4#1"/>
    <dgm:cxn modelId="{E633631A-95C3-4EF6-90C3-A2740580081D}" type="presParOf" srcId="{60B841B5-4E80-4CAE-B3C5-8D012F90D1B8}" destId="{97C96F5F-1D42-4C18-BD9C-3693C6046BF5}" srcOrd="1" destOrd="0" presId="urn:microsoft.com/office/officeart/2005/8/layout/vList4#1"/>
    <dgm:cxn modelId="{F8938645-BE95-45FA-9D48-4EACB013A93C}" type="presParOf" srcId="{60B841B5-4E80-4CAE-B3C5-8D012F90D1B8}" destId="{4614B948-2FBB-4EF4-A68A-258BB706246C}" srcOrd="2" destOrd="0" presId="urn:microsoft.com/office/officeart/2005/8/layout/vList4#1"/>
    <dgm:cxn modelId="{E4304969-A040-4EE0-ADF9-EA99A123AFF0}" type="presParOf" srcId="{8615C6C2-9BD7-4293-885E-EA3A1FFD4F8D}" destId="{2E293194-2CD6-413A-B2DD-587967C88B8C}" srcOrd="21" destOrd="0" presId="urn:microsoft.com/office/officeart/2005/8/layout/vList4#1"/>
    <dgm:cxn modelId="{FA0270C0-0D57-4715-A501-87DCA2490C58}" type="presParOf" srcId="{8615C6C2-9BD7-4293-885E-EA3A1FFD4F8D}" destId="{B40999F8-E60C-45B5-86E5-E7977144B873}" srcOrd="22" destOrd="0" presId="urn:microsoft.com/office/officeart/2005/8/layout/vList4#1"/>
    <dgm:cxn modelId="{1CEDE24F-865D-45BB-BE50-16801A978C83}" type="presParOf" srcId="{B40999F8-E60C-45B5-86E5-E7977144B873}" destId="{8DC22ED9-C812-4BFB-B8ED-6E8C79EA8BCD}" srcOrd="0" destOrd="0" presId="urn:microsoft.com/office/officeart/2005/8/layout/vList4#1"/>
    <dgm:cxn modelId="{F14F069E-E2FF-4B8E-9007-76638F43B9BC}" type="presParOf" srcId="{B40999F8-E60C-45B5-86E5-E7977144B873}" destId="{878AAB14-F36F-4A79-AD5D-FD1C7D683156}" srcOrd="1" destOrd="0" presId="urn:microsoft.com/office/officeart/2005/8/layout/vList4#1"/>
    <dgm:cxn modelId="{7BAA29A3-03B4-460E-9416-E706093776E1}" type="presParOf" srcId="{B40999F8-E60C-45B5-86E5-E7977144B873}" destId="{3C00ACF2-BA59-470B-AE0C-AF40460902CA}" srcOrd="2" destOrd="0" presId="urn:microsoft.com/office/officeart/2005/8/layout/vList4#1"/>
    <dgm:cxn modelId="{06A2E0DD-306E-4A3B-A712-63A39CC72776}" type="presParOf" srcId="{8615C6C2-9BD7-4293-885E-EA3A1FFD4F8D}" destId="{AE3EB67A-1372-44F0-A072-AD88F8E4D4C1}" srcOrd="23" destOrd="0" presId="urn:microsoft.com/office/officeart/2005/8/layout/vList4#1"/>
    <dgm:cxn modelId="{EF8CDD97-6540-4FD4-83CF-0BF344ECC240}" type="presParOf" srcId="{8615C6C2-9BD7-4293-885E-EA3A1FFD4F8D}" destId="{43EC822D-30A6-4379-92AA-B4E1FC4FA8B4}" srcOrd="24" destOrd="0" presId="urn:microsoft.com/office/officeart/2005/8/layout/vList4#1"/>
    <dgm:cxn modelId="{CF64D2F4-3E0F-4381-9F4A-8C5A5C83ABF7}" type="presParOf" srcId="{43EC822D-30A6-4379-92AA-B4E1FC4FA8B4}" destId="{D96A8D96-A0B8-4328-B19B-90EE28D016AA}" srcOrd="0" destOrd="0" presId="urn:microsoft.com/office/officeart/2005/8/layout/vList4#1"/>
    <dgm:cxn modelId="{A398148D-8726-4716-9EFF-CC820984EFA1}" type="presParOf" srcId="{43EC822D-30A6-4379-92AA-B4E1FC4FA8B4}" destId="{76150A01-5447-43E2-B0A0-23839305108C}" srcOrd="1" destOrd="0" presId="urn:microsoft.com/office/officeart/2005/8/layout/vList4#1"/>
    <dgm:cxn modelId="{E1CAFE25-1F39-4272-989B-830295E5D59D}" type="presParOf" srcId="{43EC822D-30A6-4379-92AA-B4E1FC4FA8B4}" destId="{51A39D9C-E304-46C5-9F7F-6B50ED9C9F14}" srcOrd="2" destOrd="0" presId="urn:microsoft.com/office/officeart/2005/8/layout/vList4#1"/>
    <dgm:cxn modelId="{EFC95FF6-E59A-4473-888A-967FF1CDADB6}" type="presParOf" srcId="{8615C6C2-9BD7-4293-885E-EA3A1FFD4F8D}" destId="{4ACAE84A-BA9C-4264-AFC8-7976C6419C5A}" srcOrd="25" destOrd="0" presId="urn:microsoft.com/office/officeart/2005/8/layout/vList4#1"/>
    <dgm:cxn modelId="{D08E44CD-8C30-40D2-8094-1E2753EFA7BE}" type="presParOf" srcId="{8615C6C2-9BD7-4293-885E-EA3A1FFD4F8D}" destId="{A907B1BA-274D-40CE-BB51-7B7A0B7DFE94}" srcOrd="26" destOrd="0" presId="urn:microsoft.com/office/officeart/2005/8/layout/vList4#1"/>
    <dgm:cxn modelId="{D76F0039-F398-4AF1-B5FB-05571FF12E8D}" type="presParOf" srcId="{A907B1BA-274D-40CE-BB51-7B7A0B7DFE94}" destId="{D332D99E-D4EA-4A99-AA9C-C97B3062F231}" srcOrd="0" destOrd="0" presId="urn:microsoft.com/office/officeart/2005/8/layout/vList4#1"/>
    <dgm:cxn modelId="{0D6AE038-A753-4CBC-AA09-D18DDDF4493D}" type="presParOf" srcId="{A907B1BA-274D-40CE-BB51-7B7A0B7DFE94}" destId="{7A12BD99-AD59-4920-AE9D-43930551E1FA}" srcOrd="1" destOrd="0" presId="urn:microsoft.com/office/officeart/2005/8/layout/vList4#1"/>
    <dgm:cxn modelId="{D5EB0F85-DE81-4473-AD91-933419F8C898}" type="presParOf" srcId="{A907B1BA-274D-40CE-BB51-7B7A0B7DFE94}" destId="{7F7C04FF-5F0C-49AD-9F47-712F19512690}" srcOrd="2" destOrd="0" presId="urn:microsoft.com/office/officeart/2005/8/layout/vList4#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466564-F692-4FEA-8E22-33E0DD3A8CD1}">
      <dsp:nvSpPr>
        <dsp:cNvPr id="0" name=""/>
        <dsp:cNvSpPr/>
      </dsp:nvSpPr>
      <dsp:spPr>
        <a:xfrm>
          <a:off x="0" y="90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 NIMITZ CLASS</a:t>
          </a:r>
          <a:endParaRPr lang="en-US" sz="2100" kern="1200"/>
        </a:p>
      </dsp:txBody>
      <dsp:txXfrm>
        <a:off x="1120389" y="9037"/>
        <a:ext cx="4393427" cy="396722"/>
      </dsp:txXfrm>
    </dsp:sp>
    <dsp:sp modelId="{E0E7BF65-5A79-4714-AC49-87C5301B12EA}">
      <dsp:nvSpPr>
        <dsp:cNvPr id="0" name=""/>
        <dsp:cNvSpPr/>
      </dsp:nvSpPr>
      <dsp:spPr>
        <a:xfrm>
          <a:off x="186490" y="56098"/>
          <a:ext cx="1682497" cy="311636"/>
        </a:xfrm>
        <a:prstGeom prst="roundRect">
          <a:avLst>
            <a:gd name="adj" fmla="val 10000"/>
          </a:avLst>
        </a:prstGeom>
        <a:blipFill rotWithShape="1">
          <a:blip xmlns:r="http://schemas.openxmlformats.org/officeDocument/2006/relationships" r:embed="rId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8327136-7A2E-4A25-A677-E1EAF7983234}">
      <dsp:nvSpPr>
        <dsp:cNvPr id="0" name=""/>
        <dsp:cNvSpPr/>
      </dsp:nvSpPr>
      <dsp:spPr>
        <a:xfrm>
          <a:off x="0" y="414352"/>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CVN</a:t>
          </a:r>
          <a:r>
            <a:rPr lang="en-US" sz="1800" b="1" kern="1200"/>
            <a:t> </a:t>
          </a:r>
          <a:r>
            <a:rPr lang="en-US" sz="2100" b="1" kern="1200"/>
            <a:t>FORD CLASS</a:t>
          </a:r>
          <a:r>
            <a:rPr lang="en-US" sz="1800" b="1" kern="1200"/>
            <a:t> </a:t>
          </a:r>
          <a:endParaRPr lang="en-US" sz="1800" kern="1200"/>
        </a:p>
      </dsp:txBody>
      <dsp:txXfrm>
        <a:off x="1120389" y="414352"/>
        <a:ext cx="4393427" cy="396722"/>
      </dsp:txXfrm>
    </dsp:sp>
    <dsp:sp modelId="{EC63273A-29E9-463E-BE4C-2E0D1E71AFFE}">
      <dsp:nvSpPr>
        <dsp:cNvPr id="0" name=""/>
        <dsp:cNvSpPr/>
      </dsp:nvSpPr>
      <dsp:spPr>
        <a:xfrm>
          <a:off x="158827" y="461414"/>
          <a:ext cx="1682497" cy="311634"/>
        </a:xfrm>
        <a:prstGeom prst="roundRect">
          <a:avLst>
            <a:gd name="adj" fmla="val 10000"/>
          </a:avLst>
        </a:prstGeom>
        <a:blipFill rotWithShape="1">
          <a:blip xmlns:r="http://schemas.openxmlformats.org/officeDocument/2006/relationships" r:embed="rId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FFC996BF-0DEC-4FE8-A675-4596BE5BADBF}">
      <dsp:nvSpPr>
        <dsp:cNvPr id="0" name=""/>
        <dsp:cNvSpPr/>
      </dsp:nvSpPr>
      <dsp:spPr>
        <a:xfrm>
          <a:off x="0" y="836837"/>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LHD</a:t>
          </a:r>
        </a:p>
      </dsp:txBody>
      <dsp:txXfrm>
        <a:off x="1120389" y="836837"/>
        <a:ext cx="4393427" cy="396722"/>
      </dsp:txXfrm>
    </dsp:sp>
    <dsp:sp modelId="{3A31F230-3B83-494A-8B58-73FE5055C100}">
      <dsp:nvSpPr>
        <dsp:cNvPr id="0" name=""/>
        <dsp:cNvSpPr/>
      </dsp:nvSpPr>
      <dsp:spPr>
        <a:xfrm>
          <a:off x="123487" y="880284"/>
          <a:ext cx="1682497" cy="311634"/>
        </a:xfrm>
        <a:prstGeom prst="roundRect">
          <a:avLst>
            <a:gd name="adj" fmla="val 10000"/>
          </a:avLst>
        </a:prstGeom>
        <a:blipFill rotWithShape="1">
          <a:blip xmlns:r="http://schemas.openxmlformats.org/officeDocument/2006/relationships" r:embed="rId3"/>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1BDFC4B-EE21-434A-9789-43A1074BAB79}">
      <dsp:nvSpPr>
        <dsp:cNvPr id="0" name=""/>
        <dsp:cNvSpPr/>
      </dsp:nvSpPr>
      <dsp:spPr>
        <a:xfrm>
          <a:off x="0" y="124305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LHA</a:t>
          </a:r>
        </a:p>
      </dsp:txBody>
      <dsp:txXfrm>
        <a:off x="1120389" y="1243056"/>
        <a:ext cx="4393427" cy="396722"/>
      </dsp:txXfrm>
    </dsp:sp>
    <dsp:sp modelId="{AD8E6D8C-1255-4C05-9F11-59D2A5C1F26B}">
      <dsp:nvSpPr>
        <dsp:cNvPr id="0" name=""/>
        <dsp:cNvSpPr/>
      </dsp:nvSpPr>
      <dsp:spPr>
        <a:xfrm>
          <a:off x="123476" y="1285600"/>
          <a:ext cx="1682497" cy="311634"/>
        </a:xfrm>
        <a:prstGeom prst="roundRect">
          <a:avLst>
            <a:gd name="adj" fmla="val 10000"/>
          </a:avLst>
        </a:prstGeom>
        <a:blipFill rotWithShape="1">
          <a:blip xmlns:r="http://schemas.openxmlformats.org/officeDocument/2006/relationships" r:embed="rId4"/>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BB1DC7A9-75CD-4F22-8F92-71B216BA6403}">
      <dsp:nvSpPr>
        <dsp:cNvPr id="0" name=""/>
        <dsp:cNvSpPr/>
      </dsp:nvSpPr>
      <dsp:spPr>
        <a:xfrm>
          <a:off x="0" y="165289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LCC</a:t>
          </a:r>
        </a:p>
      </dsp:txBody>
      <dsp:txXfrm>
        <a:off x="1120389" y="1652890"/>
        <a:ext cx="4393427" cy="396722"/>
      </dsp:txXfrm>
    </dsp:sp>
    <dsp:sp modelId="{1DA8D612-89F6-425D-9320-D4A89C632FF0}">
      <dsp:nvSpPr>
        <dsp:cNvPr id="0" name=""/>
        <dsp:cNvSpPr/>
      </dsp:nvSpPr>
      <dsp:spPr>
        <a:xfrm>
          <a:off x="158827" y="1690916"/>
          <a:ext cx="1682497" cy="311634"/>
        </a:xfrm>
        <a:prstGeom prst="roundRect">
          <a:avLst>
            <a:gd name="adj" fmla="val 10000"/>
          </a:avLst>
        </a:prstGeom>
        <a:blipFill rotWithShape="1">
          <a:blip xmlns:r="http://schemas.openxmlformats.org/officeDocument/2006/relationships" r:embed="rId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5956E3E6-D2AA-4264-8C4E-434F82578DE7}">
      <dsp:nvSpPr>
        <dsp:cNvPr id="0" name=""/>
        <dsp:cNvSpPr/>
      </dsp:nvSpPr>
      <dsp:spPr>
        <a:xfrm>
          <a:off x="488" y="2058205"/>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AS</a:t>
          </a:r>
        </a:p>
      </dsp:txBody>
      <dsp:txXfrm>
        <a:off x="1120878" y="2058205"/>
        <a:ext cx="4393427" cy="396722"/>
      </dsp:txXfrm>
    </dsp:sp>
    <dsp:sp modelId="{FC370B0A-A492-4C52-85F1-A4CD636C0E30}">
      <dsp:nvSpPr>
        <dsp:cNvPr id="0" name=""/>
        <dsp:cNvSpPr/>
      </dsp:nvSpPr>
      <dsp:spPr>
        <a:xfrm>
          <a:off x="178803" y="2044105"/>
          <a:ext cx="1682497" cy="311634"/>
        </a:xfrm>
        <a:prstGeom prst="roundRect">
          <a:avLst>
            <a:gd name="adj" fmla="val 10000"/>
          </a:avLst>
        </a:prstGeom>
        <a:blipFill rotWithShape="1">
          <a:blip xmlns:r="http://schemas.openxmlformats.org/officeDocument/2006/relationships" r:embed="rId6"/>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5B4184F-7096-4EA0-AD3C-00B43A74DD22}">
      <dsp:nvSpPr>
        <dsp:cNvPr id="0" name=""/>
        <dsp:cNvSpPr/>
      </dsp:nvSpPr>
      <dsp:spPr>
        <a:xfrm>
          <a:off x="1040" y="2481100"/>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LPD</a:t>
          </a:r>
        </a:p>
      </dsp:txBody>
      <dsp:txXfrm>
        <a:off x="1121429" y="2481100"/>
        <a:ext cx="4393427" cy="396722"/>
      </dsp:txXfrm>
    </dsp:sp>
    <dsp:sp modelId="{9446C1C7-9762-4377-BBAF-1E49B698B082}">
      <dsp:nvSpPr>
        <dsp:cNvPr id="0" name=""/>
        <dsp:cNvSpPr/>
      </dsp:nvSpPr>
      <dsp:spPr>
        <a:xfrm>
          <a:off x="182398" y="2462670"/>
          <a:ext cx="1682497" cy="311634"/>
        </a:xfrm>
        <a:prstGeom prst="roundRect">
          <a:avLst>
            <a:gd name="adj" fmla="val 10000"/>
          </a:avLst>
        </a:prstGeom>
        <a:blipFill rotWithShape="1">
          <a:blip xmlns:r="http://schemas.openxmlformats.org/officeDocument/2006/relationships" r:embed="rId7"/>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60F14B07-2B22-421D-9A14-A443B38C2AD6}">
      <dsp:nvSpPr>
        <dsp:cNvPr id="0" name=""/>
        <dsp:cNvSpPr/>
      </dsp:nvSpPr>
      <dsp:spPr>
        <a:xfrm>
          <a:off x="0" y="289594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HOSPITAL</a:t>
          </a:r>
        </a:p>
      </dsp:txBody>
      <dsp:txXfrm>
        <a:off x="1120389" y="2895946"/>
        <a:ext cx="4393427" cy="396722"/>
      </dsp:txXfrm>
    </dsp:sp>
    <dsp:sp modelId="{63FCC9E2-DD5B-4CFE-9DC4-3A26A0071E71}">
      <dsp:nvSpPr>
        <dsp:cNvPr id="0" name=""/>
        <dsp:cNvSpPr/>
      </dsp:nvSpPr>
      <dsp:spPr>
        <a:xfrm>
          <a:off x="170618" y="2877022"/>
          <a:ext cx="1682497" cy="311634"/>
        </a:xfrm>
        <a:prstGeom prst="roundRect">
          <a:avLst>
            <a:gd name="adj" fmla="val 10000"/>
          </a:avLst>
        </a:prstGeom>
        <a:blipFill rotWithShape="1">
          <a:blip xmlns:r="http://schemas.openxmlformats.org/officeDocument/2006/relationships" r:embed="rId8"/>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1FDF5E49-FE72-4652-BC5A-06E5A9756DB0}">
      <dsp:nvSpPr>
        <dsp:cNvPr id="0" name=""/>
        <dsp:cNvSpPr/>
      </dsp:nvSpPr>
      <dsp:spPr>
        <a:xfrm>
          <a:off x="0" y="3301261"/>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LSD</a:t>
          </a:r>
        </a:p>
      </dsp:txBody>
      <dsp:txXfrm>
        <a:off x="1120389" y="3301261"/>
        <a:ext cx="4393427" cy="396722"/>
      </dsp:txXfrm>
    </dsp:sp>
    <dsp:sp modelId="{BFA31256-8A55-4D73-88AC-51FB5E9ADF0C}">
      <dsp:nvSpPr>
        <dsp:cNvPr id="0" name=""/>
        <dsp:cNvSpPr/>
      </dsp:nvSpPr>
      <dsp:spPr>
        <a:xfrm>
          <a:off x="170618" y="3282336"/>
          <a:ext cx="1682497" cy="311634"/>
        </a:xfrm>
        <a:prstGeom prst="roundRect">
          <a:avLst>
            <a:gd name="adj" fmla="val 10000"/>
          </a:avLst>
        </a:prstGeom>
        <a:blipFill rotWithShape="1">
          <a:blip xmlns:r="http://schemas.openxmlformats.org/officeDocument/2006/relationships" r:embed="rId9"/>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E2B764E2-7605-4980-8938-1E64F6592750}">
      <dsp:nvSpPr>
        <dsp:cNvPr id="0" name=""/>
        <dsp:cNvSpPr/>
      </dsp:nvSpPr>
      <dsp:spPr>
        <a:xfrm>
          <a:off x="0" y="3715613"/>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CG/DDG</a:t>
          </a:r>
        </a:p>
      </dsp:txBody>
      <dsp:txXfrm>
        <a:off x="1120389" y="3715613"/>
        <a:ext cx="4393427" cy="396722"/>
      </dsp:txXfrm>
    </dsp:sp>
    <dsp:sp modelId="{11486A67-EB43-4BC3-B30B-F0CA4406497E}">
      <dsp:nvSpPr>
        <dsp:cNvPr id="0" name=""/>
        <dsp:cNvSpPr/>
      </dsp:nvSpPr>
      <dsp:spPr>
        <a:xfrm>
          <a:off x="165842" y="3708138"/>
          <a:ext cx="1682497" cy="311634"/>
        </a:xfrm>
        <a:prstGeom prst="roundRect">
          <a:avLst>
            <a:gd name="adj" fmla="val 10000"/>
          </a:avLst>
        </a:prstGeom>
        <a:blipFill rotWithShape="1">
          <a:blip xmlns:r="http://schemas.openxmlformats.org/officeDocument/2006/relationships" r:embed="rId10"/>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44C38F18-4538-4105-995A-AAF1C1D4E0D2}">
      <dsp:nvSpPr>
        <dsp:cNvPr id="0" name=""/>
        <dsp:cNvSpPr/>
      </dsp:nvSpPr>
      <dsp:spPr>
        <a:xfrm>
          <a:off x="0" y="4129966"/>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SSBN/SSGN</a:t>
          </a:r>
        </a:p>
      </dsp:txBody>
      <dsp:txXfrm>
        <a:off x="1120389" y="4129966"/>
        <a:ext cx="4393427" cy="396722"/>
      </dsp:txXfrm>
    </dsp:sp>
    <dsp:sp modelId="{97C96F5F-1D42-4C18-BD9C-3693C6046BF5}">
      <dsp:nvSpPr>
        <dsp:cNvPr id="0" name=""/>
        <dsp:cNvSpPr/>
      </dsp:nvSpPr>
      <dsp:spPr>
        <a:xfrm>
          <a:off x="197598" y="4115866"/>
          <a:ext cx="1682497" cy="311634"/>
        </a:xfrm>
        <a:prstGeom prst="roundRect">
          <a:avLst>
            <a:gd name="adj" fmla="val 10000"/>
          </a:avLst>
        </a:prstGeom>
        <a:blipFill rotWithShape="1">
          <a:blip xmlns:r="http://schemas.openxmlformats.org/officeDocument/2006/relationships" r:embed="rId11"/>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8DC22ED9-C812-4BFB-B8ED-6E8C79EA8BCD}">
      <dsp:nvSpPr>
        <dsp:cNvPr id="0" name=""/>
        <dsp:cNvSpPr/>
      </dsp:nvSpPr>
      <dsp:spPr>
        <a:xfrm>
          <a:off x="0" y="4544318"/>
          <a:ext cx="5513816" cy="3967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SSN</a:t>
          </a:r>
        </a:p>
      </dsp:txBody>
      <dsp:txXfrm>
        <a:off x="1120389" y="4544318"/>
        <a:ext cx="4393427" cy="396722"/>
      </dsp:txXfrm>
    </dsp:sp>
    <dsp:sp modelId="{878AAB14-F36F-4A79-AD5D-FD1C7D683156}">
      <dsp:nvSpPr>
        <dsp:cNvPr id="0" name=""/>
        <dsp:cNvSpPr/>
      </dsp:nvSpPr>
      <dsp:spPr>
        <a:xfrm>
          <a:off x="181725" y="4522946"/>
          <a:ext cx="1682497" cy="311634"/>
        </a:xfrm>
        <a:prstGeom prst="roundRect">
          <a:avLst>
            <a:gd name="adj" fmla="val 10000"/>
          </a:avLst>
        </a:prstGeom>
        <a:blipFill rotWithShape="1">
          <a:blip xmlns:r="http://schemas.openxmlformats.org/officeDocument/2006/relationships" r:embed="rId12"/>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96A8D96-A0B8-4328-B19B-90EE28D016AA}">
      <dsp:nvSpPr>
        <dsp:cNvPr id="0" name=""/>
        <dsp:cNvSpPr/>
      </dsp:nvSpPr>
      <dsp:spPr>
        <a:xfrm>
          <a:off x="3105" y="4972226"/>
          <a:ext cx="5514975" cy="409678"/>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68580" rIns="68580" bIns="68580" numCol="1" spcCol="1270" anchor="ctr" anchorCtr="0">
          <a:noAutofit/>
        </a:bodyPr>
        <a:lstStyle/>
        <a:p>
          <a:pPr lvl="0" algn="l" defTabSz="800100">
            <a:lnSpc>
              <a:spcPct val="90000"/>
            </a:lnSpc>
            <a:spcBef>
              <a:spcPct val="0"/>
            </a:spcBef>
            <a:spcAft>
              <a:spcPct val="35000"/>
            </a:spcAft>
          </a:pPr>
          <a:r>
            <a:rPr lang="en-US" sz="1800" kern="1200"/>
            <a:t>                                    </a:t>
          </a:r>
          <a:r>
            <a:rPr lang="en-US" sz="1800" b="1" kern="1200"/>
            <a:t>LCS</a:t>
          </a:r>
        </a:p>
      </dsp:txBody>
      <dsp:txXfrm>
        <a:off x="1123730" y="4972226"/>
        <a:ext cx="4394350" cy="409678"/>
      </dsp:txXfrm>
    </dsp:sp>
    <dsp:sp modelId="{76150A01-5447-43E2-B0A0-23839305108C}">
      <dsp:nvSpPr>
        <dsp:cNvPr id="0" name=""/>
        <dsp:cNvSpPr/>
      </dsp:nvSpPr>
      <dsp:spPr>
        <a:xfrm>
          <a:off x="215982" y="5035186"/>
          <a:ext cx="1645922" cy="265332"/>
        </a:xfrm>
        <a:prstGeom prst="roundRect">
          <a:avLst>
            <a:gd name="adj" fmla="val 10000"/>
          </a:avLst>
        </a:prstGeom>
        <a:blipFill dpi="0" rotWithShape="1">
          <a:blip xmlns:r="http://schemas.openxmlformats.org/officeDocument/2006/relationships" r:embed="rId13">
            <a:extLst>
              <a:ext uri="{BEBA8EAE-BF5A-486C-A8C5-ECC9F3942E4B}">
                <a14:imgProps xmlns:a14="http://schemas.microsoft.com/office/drawing/2010/main">
                  <a14:imgLayer r:embed="rId14">
                    <a14:imgEffect>
                      <a14:sharpenSoften amount="25000"/>
                    </a14:imgEffect>
                  </a14:imgLayer>
                </a14:imgProps>
              </a:ext>
              <a:ext uri="{28A0092B-C50C-407E-A947-70E740481C1C}">
                <a14:useLocalDpi xmlns:a14="http://schemas.microsoft.com/office/drawing/2010/main" val="0"/>
              </a:ext>
            </a:extLst>
          </a:blip>
          <a:srcRect/>
          <a:stretch>
            <a:fillRect t="-50001" b="-50001"/>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332D99E-D4EA-4A99-AA9C-C97B3062F231}">
      <dsp:nvSpPr>
        <dsp:cNvPr id="0" name=""/>
        <dsp:cNvSpPr/>
      </dsp:nvSpPr>
      <dsp:spPr>
        <a:xfrm>
          <a:off x="0" y="5385978"/>
          <a:ext cx="5513816" cy="410045"/>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80010" rIns="80010" bIns="80010" numCol="1" spcCol="1270" anchor="ctr" anchorCtr="0">
          <a:noAutofit/>
        </a:bodyPr>
        <a:lstStyle/>
        <a:p>
          <a:pPr lvl="0" algn="ctr" defTabSz="933450">
            <a:lnSpc>
              <a:spcPct val="90000"/>
            </a:lnSpc>
            <a:spcBef>
              <a:spcPct val="0"/>
            </a:spcBef>
            <a:spcAft>
              <a:spcPct val="35000"/>
            </a:spcAft>
          </a:pPr>
          <a:r>
            <a:rPr lang="en-US" sz="2100" b="1" kern="1200"/>
            <a:t>LESS THAN 100</a:t>
          </a:r>
        </a:p>
      </dsp:txBody>
      <dsp:txXfrm>
        <a:off x="1120389" y="5385978"/>
        <a:ext cx="4393427" cy="410045"/>
      </dsp:txXfrm>
    </dsp:sp>
    <dsp:sp modelId="{7A12BD99-AD59-4920-AE9D-43930551E1FA}">
      <dsp:nvSpPr>
        <dsp:cNvPr id="0" name=""/>
        <dsp:cNvSpPr/>
      </dsp:nvSpPr>
      <dsp:spPr>
        <a:xfrm>
          <a:off x="213492" y="5435490"/>
          <a:ext cx="1682497" cy="311634"/>
        </a:xfrm>
        <a:prstGeom prst="roundRect">
          <a:avLst>
            <a:gd name="adj" fmla="val 10000"/>
          </a:avLst>
        </a:prstGeom>
        <a:blipFill rotWithShape="1">
          <a:blip xmlns:r="http://schemas.openxmlformats.org/officeDocument/2006/relationships" r:embed="rId15"/>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vList4#1">
  <dgm:title val=""/>
  <dgm:desc val=""/>
  <dgm:catLst>
    <dgm:cat type="list" pri="13000"/>
    <dgm:cat type="picture" pri="26000"/>
    <dgm:cat type="pictureconvert" pri="26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 modelId="33" srcId="3" destId="31" srcOrd="0" destOrd="0"/>
        <dgm:cxn modelId="34" srcId="3" destId="3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resizeHandles val="exact"/>
    </dgm:varLst>
    <dgm:alg type="lin">
      <dgm:param type="linDir" val="fromT"/>
      <dgm:param type="vertAlign" val="t"/>
    </dgm:alg>
    <dgm:shape xmlns:r="http://schemas.openxmlformats.org/officeDocument/2006/relationships" r:blip="">
      <dgm:adjLst/>
    </dgm:shape>
    <dgm:presOf/>
    <dgm:constrLst>
      <dgm:constr type="w" for="ch" forName="comp" refType="w"/>
      <dgm:constr type="h" for="ch" forName="comp" refType="h"/>
      <dgm:constr type="h" for="ch" forName="spacer" refType="h" refFor="ch" refForName="comp" op="equ" fact="0.1"/>
      <dgm:constr type="primFontSz" for="des" forName="text" op="equ" val="65"/>
    </dgm:constrLst>
    <dgm:ruleLst/>
    <dgm:forEach name="Name0" axis="ch" ptType="node">
      <dgm:layoutNode name="comp" styleLbl="node1">
        <dgm:alg type="composite"/>
        <dgm:shape xmlns:r="http://schemas.openxmlformats.org/officeDocument/2006/relationships" r:blip="">
          <dgm:adjLst/>
        </dgm:shape>
        <dgm:presOf/>
        <dgm:choose name="Name1">
          <dgm:if name="Name2" func="var" arg="dir" op="equ" val="norm">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l" for="ch" forName="img" refType="h" refFor="ch" refForName="box" fact="0.1"/>
              <dgm:constr type="h" for="ch" forName="text" refType="h"/>
              <dgm:constr type="l" for="ch" forName="text" refType="r" refFor="ch" refForName="img"/>
              <dgm:constr type="r" for="ch" forName="text" refType="w"/>
            </dgm:constrLst>
          </dgm:if>
          <dgm:else name="Name3">
            <dgm:constrLst>
              <dgm:constr type="h" for="ch" forName="box" refType="h"/>
              <dgm:constr type="w" for="ch" forName="box" refType="w"/>
              <dgm:constr type="w" for="ch" forName="img" refType="w" refFor="ch" refForName="box" fact="0.2"/>
              <dgm:constr type="h" for="ch" forName="img" refType="h" refFor="ch" refForName="box" fact="0.8"/>
              <dgm:constr type="t" for="ch" forName="img" refType="h" refFor="ch" refForName="box" fact="0.1"/>
              <dgm:constr type="r" for="ch" forName="img" refType="w" refFor="ch" refForName="box"/>
              <dgm:constr type="rOff" for="ch" forName="img" refType="h" refFor="ch" refForName="box" fact="-0.1"/>
              <dgm:constr type="h" for="ch" forName="text" refType="h"/>
              <dgm:constr type="r" for="ch" forName="text" refType="l" refFor="ch" refForName="img"/>
              <dgm:constr type="l" for="ch" forName="text"/>
            </dgm:constrLst>
          </dgm:else>
        </dgm:choose>
        <dgm:ruleLst/>
        <dgm:layoutNode name="box" styleLbl="node1">
          <dgm:alg type="sp"/>
          <dgm:shape xmlns:r="http://schemas.openxmlformats.org/officeDocument/2006/relationships" type="roundRect" r:blip="">
            <dgm:adjLst>
              <dgm:adj idx="1" val="0.1"/>
            </dgm:adjLst>
          </dgm:shape>
          <dgm:presOf axis="desOrSelf" ptType="node"/>
          <dgm:constrLst/>
          <dgm:ruleLst/>
        </dgm:layoutNode>
        <dgm:layoutNode name="img" styleLbl="fgImgPlace1">
          <dgm:alg type="sp"/>
          <dgm:shape xmlns:r="http://schemas.openxmlformats.org/officeDocument/2006/relationships" type="roundRect" r:blip="" blipPhldr="1">
            <dgm:adjLst>
              <dgm:adj idx="1" val="0.1"/>
            </dgm:adjLst>
          </dgm:shape>
          <dgm:presOf/>
          <dgm:constrLst/>
          <dgm:ruleLst/>
        </dgm:layoutNode>
        <dgm:layoutNode name="text">
          <dgm:varLst>
            <dgm:bulletEnabled val="1"/>
          </dgm:varLst>
          <dgm:alg type="tx">
            <dgm:param type="parTxLTRAlign" val="l"/>
            <dgm:param type="parTxRTLAlign" val="r"/>
          </dgm:alg>
          <dgm:shape xmlns:r="http://schemas.openxmlformats.org/officeDocument/2006/relationships" type="rect" r:blip="" hideGeom="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Name4" axis="followSib" ptType="sibTrans" cnt="1">
        <dgm:layoutNode name="spacer">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5514975</xdr:colOff>
      <xdr:row>54</xdr:row>
      <xdr:rowOff>103189</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347" name="Check Box 27" hidden="1">
              <a:extLst>
                <a:ext uri="{63B3BB69-23CF-44E3-9099-C40C66FF867C}">
                  <a14:compatExt spid="_x0000_s56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6" name="Check Box 96" hidden="1">
              <a:extLst>
                <a:ext uri="{63B3BB69-23CF-44E3-9099-C40C66FF867C}">
                  <a14:compatExt spid="_x0000_s5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8" name="Check Box 98" hidden="1">
              <a:extLst>
                <a:ext uri="{63B3BB69-23CF-44E3-9099-C40C66FF867C}">
                  <a14:compatExt spid="_x0000_s5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19" name="Check Box 99" hidden="1">
              <a:extLst>
                <a:ext uri="{63B3BB69-23CF-44E3-9099-C40C66FF867C}">
                  <a14:compatExt spid="_x0000_s5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20" name="Check Box 100" hidden="1">
              <a:extLst>
                <a:ext uri="{63B3BB69-23CF-44E3-9099-C40C66FF867C}">
                  <a14:compatExt spid="_x0000_s5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209550</xdr:rowOff>
        </xdr:to>
        <xdr:sp macro="" textlink="">
          <xdr:nvSpPr>
            <xdr:cNvPr id="56421" name="Check Box 101" hidden="1">
              <a:extLst>
                <a:ext uri="{63B3BB69-23CF-44E3-9099-C40C66FF867C}">
                  <a14:compatExt spid="_x0000_s5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xdr:row>
          <xdr:rowOff>0</xdr:rowOff>
        </xdr:from>
        <xdr:to>
          <xdr:col>3</xdr:col>
          <xdr:colOff>609600</xdr:colOff>
          <xdr:row>7</xdr:row>
          <xdr:rowOff>209550</xdr:rowOff>
        </xdr:to>
        <xdr:sp macro="" textlink="">
          <xdr:nvSpPr>
            <xdr:cNvPr id="56422" name="Check Box 102" hidden="1">
              <a:extLst>
                <a:ext uri="{63B3BB69-23CF-44E3-9099-C40C66FF867C}">
                  <a14:compatExt spid="_x0000_s5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22</xdr:row>
          <xdr:rowOff>0</xdr:rowOff>
        </xdr:from>
        <xdr:to>
          <xdr:col>3</xdr:col>
          <xdr:colOff>609600</xdr:colOff>
          <xdr:row>22</xdr:row>
          <xdr:rowOff>209550</xdr:rowOff>
        </xdr:to>
        <xdr:sp macro="" textlink="">
          <xdr:nvSpPr>
            <xdr:cNvPr id="56423" name="Check Box 103" hidden="1">
              <a:extLst>
                <a:ext uri="{63B3BB69-23CF-44E3-9099-C40C66FF867C}">
                  <a14:compatExt spid="_x0000_s5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425450</xdr:colOff>
          <xdr:row>77</xdr:row>
          <xdr:rowOff>304800</xdr:rowOff>
        </xdr:from>
        <xdr:to>
          <xdr:col>3</xdr:col>
          <xdr:colOff>635000</xdr:colOff>
          <xdr:row>78</xdr:row>
          <xdr:rowOff>228600</xdr:rowOff>
        </xdr:to>
        <xdr:sp macro="" textlink="">
          <xdr:nvSpPr>
            <xdr:cNvPr id="56424" name="Check Box 104" hidden="1">
              <a:extLst>
                <a:ext uri="{63B3BB69-23CF-44E3-9099-C40C66FF867C}">
                  <a14:compatExt spid="_x0000_s5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80</xdr:row>
          <xdr:rowOff>38100</xdr:rowOff>
        </xdr:from>
        <xdr:to>
          <xdr:col>3</xdr:col>
          <xdr:colOff>628650</xdr:colOff>
          <xdr:row>80</xdr:row>
          <xdr:rowOff>279400</xdr:rowOff>
        </xdr:to>
        <xdr:sp macro="" textlink="">
          <xdr:nvSpPr>
            <xdr:cNvPr id="56425" name="Check Box 105" hidden="1">
              <a:extLst>
                <a:ext uri="{63B3BB69-23CF-44E3-9099-C40C66FF867C}">
                  <a14:compatExt spid="_x0000_s5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81</xdr:row>
          <xdr:rowOff>69850</xdr:rowOff>
        </xdr:from>
        <xdr:to>
          <xdr:col>3</xdr:col>
          <xdr:colOff>654050</xdr:colOff>
          <xdr:row>82</xdr:row>
          <xdr:rowOff>0</xdr:rowOff>
        </xdr:to>
        <xdr:sp macro="" textlink="">
          <xdr:nvSpPr>
            <xdr:cNvPr id="56426" name="Check Box 106" hidden="1">
              <a:extLst>
                <a:ext uri="{63B3BB69-23CF-44E3-9099-C40C66FF867C}">
                  <a14:compatExt spid="_x0000_s5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82</xdr:row>
          <xdr:rowOff>6350</xdr:rowOff>
        </xdr:from>
        <xdr:to>
          <xdr:col>3</xdr:col>
          <xdr:colOff>628650</xdr:colOff>
          <xdr:row>82</xdr:row>
          <xdr:rowOff>266700</xdr:rowOff>
        </xdr:to>
        <xdr:sp macro="" textlink="">
          <xdr:nvSpPr>
            <xdr:cNvPr id="56427" name="Check Box 107" hidden="1">
              <a:extLst>
                <a:ext uri="{63B3BB69-23CF-44E3-9099-C40C66FF867C}">
                  <a14:compatExt spid="_x0000_s5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83</xdr:row>
          <xdr:rowOff>19050</xdr:rowOff>
        </xdr:from>
        <xdr:to>
          <xdr:col>3</xdr:col>
          <xdr:colOff>615950</xdr:colOff>
          <xdr:row>83</xdr:row>
          <xdr:rowOff>279400</xdr:rowOff>
        </xdr:to>
        <xdr:sp macro="" textlink="">
          <xdr:nvSpPr>
            <xdr:cNvPr id="56428" name="Check Box 108" hidden="1">
              <a:extLst>
                <a:ext uri="{63B3BB69-23CF-44E3-9099-C40C66FF867C}">
                  <a14:compatExt spid="_x0000_s5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85</xdr:row>
          <xdr:rowOff>31750</xdr:rowOff>
        </xdr:from>
        <xdr:to>
          <xdr:col>3</xdr:col>
          <xdr:colOff>615950</xdr:colOff>
          <xdr:row>86</xdr:row>
          <xdr:rowOff>69850</xdr:rowOff>
        </xdr:to>
        <xdr:sp macro="" textlink="">
          <xdr:nvSpPr>
            <xdr:cNvPr id="56429" name="Check Box 109" hidden="1">
              <a:extLst>
                <a:ext uri="{63B3BB69-23CF-44E3-9099-C40C66FF867C}">
                  <a14:compatExt spid="_x0000_s5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86</xdr:row>
          <xdr:rowOff>69850</xdr:rowOff>
        </xdr:from>
        <xdr:to>
          <xdr:col>3</xdr:col>
          <xdr:colOff>660400</xdr:colOff>
          <xdr:row>87</xdr:row>
          <xdr:rowOff>12700</xdr:rowOff>
        </xdr:to>
        <xdr:sp macro="" textlink="">
          <xdr:nvSpPr>
            <xdr:cNvPr id="56430" name="Check Box 110" hidden="1">
              <a:extLst>
                <a:ext uri="{63B3BB69-23CF-44E3-9099-C40C66FF867C}">
                  <a14:compatExt spid="_x0000_s5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87</xdr:row>
          <xdr:rowOff>31750</xdr:rowOff>
        </xdr:from>
        <xdr:to>
          <xdr:col>3</xdr:col>
          <xdr:colOff>577850</xdr:colOff>
          <xdr:row>87</xdr:row>
          <xdr:rowOff>184150</xdr:rowOff>
        </xdr:to>
        <xdr:sp macro="" textlink="">
          <xdr:nvSpPr>
            <xdr:cNvPr id="56431" name="Check Box 111" hidden="1">
              <a:extLst>
                <a:ext uri="{63B3BB69-23CF-44E3-9099-C40C66FF867C}">
                  <a14:compatExt spid="_x0000_s5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88</xdr:row>
          <xdr:rowOff>57150</xdr:rowOff>
        </xdr:from>
        <xdr:to>
          <xdr:col>3</xdr:col>
          <xdr:colOff>596900</xdr:colOff>
          <xdr:row>88</xdr:row>
          <xdr:rowOff>336550</xdr:rowOff>
        </xdr:to>
        <xdr:sp macro="" textlink="">
          <xdr:nvSpPr>
            <xdr:cNvPr id="56432" name="Check Box 112" hidden="1">
              <a:extLst>
                <a:ext uri="{63B3BB69-23CF-44E3-9099-C40C66FF867C}">
                  <a14:compatExt spid="_x0000_s5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8</xdr:row>
          <xdr:rowOff>6350</xdr:rowOff>
        </xdr:from>
        <xdr:to>
          <xdr:col>3</xdr:col>
          <xdr:colOff>311150</xdr:colOff>
          <xdr:row>8</xdr:row>
          <xdr:rowOff>177800</xdr:rowOff>
        </xdr:to>
        <xdr:sp macro="" textlink="">
          <xdr:nvSpPr>
            <xdr:cNvPr id="56433" name="Check Box 113" hidden="1">
              <a:extLst>
                <a:ext uri="{63B3BB69-23CF-44E3-9099-C40C66FF867C}">
                  <a14:compatExt spid="_x0000_s5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190500</xdr:rowOff>
        </xdr:from>
        <xdr:to>
          <xdr:col>3</xdr:col>
          <xdr:colOff>336550</xdr:colOff>
          <xdr:row>12</xdr:row>
          <xdr:rowOff>190500</xdr:rowOff>
        </xdr:to>
        <xdr:sp macro="" textlink="">
          <xdr:nvSpPr>
            <xdr:cNvPr id="56434" name="Check Box 114" hidden="1">
              <a:extLst>
                <a:ext uri="{63B3BB69-23CF-44E3-9099-C40C66FF867C}">
                  <a14:compatExt spid="_x0000_s5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15</xdr:row>
          <xdr:rowOff>12700</xdr:rowOff>
        </xdr:from>
        <xdr:to>
          <xdr:col>3</xdr:col>
          <xdr:colOff>342900</xdr:colOff>
          <xdr:row>15</xdr:row>
          <xdr:rowOff>190500</xdr:rowOff>
        </xdr:to>
        <xdr:sp macro="" textlink="">
          <xdr:nvSpPr>
            <xdr:cNvPr id="56435" name="Check Box 115" hidden="1">
              <a:extLst>
                <a:ext uri="{63B3BB69-23CF-44E3-9099-C40C66FF867C}">
                  <a14:compatExt spid="_x0000_s5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28</xdr:row>
          <xdr:rowOff>88900</xdr:rowOff>
        </xdr:from>
        <xdr:to>
          <xdr:col>3</xdr:col>
          <xdr:colOff>673100</xdr:colOff>
          <xdr:row>28</xdr:row>
          <xdr:rowOff>323850</xdr:rowOff>
        </xdr:to>
        <xdr:sp macro="" textlink="">
          <xdr:nvSpPr>
            <xdr:cNvPr id="56436" name="Check Box 116" hidden="1">
              <a:extLst>
                <a:ext uri="{63B3BB69-23CF-44E3-9099-C40C66FF867C}">
                  <a14:compatExt spid="_x0000_s5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64</xdr:row>
          <xdr:rowOff>139700</xdr:rowOff>
        </xdr:from>
        <xdr:to>
          <xdr:col>3</xdr:col>
          <xdr:colOff>463550</xdr:colOff>
          <xdr:row>64</xdr:row>
          <xdr:rowOff>298450</xdr:rowOff>
        </xdr:to>
        <xdr:sp macro="" textlink="">
          <xdr:nvSpPr>
            <xdr:cNvPr id="56437" name="Check Box 117" hidden="1">
              <a:extLst>
                <a:ext uri="{63B3BB69-23CF-44E3-9099-C40C66FF867C}">
                  <a14:compatExt spid="_x0000_s5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66</xdr:row>
          <xdr:rowOff>57150</xdr:rowOff>
        </xdr:from>
        <xdr:to>
          <xdr:col>3</xdr:col>
          <xdr:colOff>450850</xdr:colOff>
          <xdr:row>66</xdr:row>
          <xdr:rowOff>254000</xdr:rowOff>
        </xdr:to>
        <xdr:sp macro="" textlink="">
          <xdr:nvSpPr>
            <xdr:cNvPr id="56438" name="Check Box 118" hidden="1">
              <a:extLst>
                <a:ext uri="{63B3BB69-23CF-44E3-9099-C40C66FF867C}">
                  <a14:compatExt spid="_x0000_s5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355600</xdr:colOff>
          <xdr:row>91</xdr:row>
          <xdr:rowOff>171450</xdr:rowOff>
        </xdr:from>
        <xdr:to>
          <xdr:col>3</xdr:col>
          <xdr:colOff>533400</xdr:colOff>
          <xdr:row>91</xdr:row>
          <xdr:rowOff>412750</xdr:rowOff>
        </xdr:to>
        <xdr:sp macro="" textlink="">
          <xdr:nvSpPr>
            <xdr:cNvPr id="56439" name="Check Box 119" hidden="1">
              <a:extLst>
                <a:ext uri="{63B3BB69-23CF-44E3-9099-C40C66FF867C}">
                  <a14:compatExt spid="_x0000_s5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92</xdr:row>
          <xdr:rowOff>177800</xdr:rowOff>
        </xdr:from>
        <xdr:to>
          <xdr:col>3</xdr:col>
          <xdr:colOff>520700</xdr:colOff>
          <xdr:row>92</xdr:row>
          <xdr:rowOff>381000</xdr:rowOff>
        </xdr:to>
        <xdr:sp macro="" textlink="">
          <xdr:nvSpPr>
            <xdr:cNvPr id="56440" name="Check Box 120" hidden="1">
              <a:extLst>
                <a:ext uri="{63B3BB69-23CF-44E3-9099-C40C66FF867C}">
                  <a14:compatExt spid="_x0000_s5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93</xdr:row>
          <xdr:rowOff>171450</xdr:rowOff>
        </xdr:from>
        <xdr:to>
          <xdr:col>3</xdr:col>
          <xdr:colOff>501650</xdr:colOff>
          <xdr:row>93</xdr:row>
          <xdr:rowOff>393700</xdr:rowOff>
        </xdr:to>
        <xdr:sp macro="" textlink="">
          <xdr:nvSpPr>
            <xdr:cNvPr id="56441" name="Check Box 121" hidden="1">
              <a:extLst>
                <a:ext uri="{63B3BB69-23CF-44E3-9099-C40C66FF867C}">
                  <a14:compatExt spid="_x0000_s5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94</xdr:row>
          <xdr:rowOff>165100</xdr:rowOff>
        </xdr:from>
        <xdr:to>
          <xdr:col>3</xdr:col>
          <xdr:colOff>520700</xdr:colOff>
          <xdr:row>94</xdr:row>
          <xdr:rowOff>412750</xdr:rowOff>
        </xdr:to>
        <xdr:sp macro="" textlink="">
          <xdr:nvSpPr>
            <xdr:cNvPr id="56442" name="Check Box 122" hidden="1">
              <a:extLst>
                <a:ext uri="{63B3BB69-23CF-44E3-9099-C40C66FF867C}">
                  <a14:compatExt spid="_x0000_s56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10</xdr:row>
          <xdr:rowOff>0</xdr:rowOff>
        </xdr:from>
        <xdr:to>
          <xdr:col>2</xdr:col>
          <xdr:colOff>609600</xdr:colOff>
          <xdr:row>10</xdr:row>
          <xdr:rowOff>209550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xdr:row>
          <xdr:rowOff>0</xdr:rowOff>
        </xdr:from>
        <xdr:to>
          <xdr:col>2</xdr:col>
          <xdr:colOff>609600</xdr:colOff>
          <xdr:row>11</xdr:row>
          <xdr:rowOff>209550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13</xdr:row>
          <xdr:rowOff>0</xdr:rowOff>
        </xdr:from>
        <xdr:to>
          <xdr:col>2</xdr:col>
          <xdr:colOff>609600</xdr:colOff>
          <xdr:row>13</xdr:row>
          <xdr:rowOff>209550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14</xdr:row>
          <xdr:rowOff>0</xdr:rowOff>
        </xdr:from>
        <xdr:to>
          <xdr:col>2</xdr:col>
          <xdr:colOff>609600</xdr:colOff>
          <xdr:row>14</xdr:row>
          <xdr:rowOff>209550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17</xdr:row>
          <xdr:rowOff>0</xdr:rowOff>
        </xdr:from>
        <xdr:to>
          <xdr:col>2</xdr:col>
          <xdr:colOff>609600</xdr:colOff>
          <xdr:row>17</xdr:row>
          <xdr:rowOff>209550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3</xdr:col>
      <xdr:colOff>600075</xdr:colOff>
      <xdr:row>6</xdr:row>
      <xdr:rowOff>0</xdr:rowOff>
    </xdr:from>
    <xdr:to>
      <xdr:col>5</xdr:col>
      <xdr:colOff>0</xdr:colOff>
      <xdr:row>12</xdr:row>
      <xdr:rowOff>19050</xdr:rowOff>
    </xdr:to>
    <xdr:grpSp>
      <xdr:nvGrpSpPr>
        <xdr:cNvPr id="129348" name="Group 53"/>
        <xdr:cNvGrpSpPr>
          <a:grpSpLocks/>
        </xdr:cNvGrpSpPr>
      </xdr:nvGrpSpPr>
      <xdr:grpSpPr bwMode="auto">
        <a:xfrm>
          <a:off x="2416175" y="2330450"/>
          <a:ext cx="1254125" cy="1200150"/>
          <a:chOff x="315" y="245"/>
          <a:chExt cx="75" cy="123"/>
        </a:xfrm>
      </xdr:grpSpPr>
      <xdr:sp macro="" textlink="">
        <xdr:nvSpPr>
          <xdr:cNvPr id="129384" name="AutoShape 5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85" name="AutoShape 5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6" name="AutoShape 5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09" name="Text Box 57"/>
          <xdr:cNvSpPr txBox="1">
            <a:spLocks noChangeArrowheads="1"/>
          </xdr:cNvSpPr>
        </xdr:nvSpPr>
        <xdr:spPr bwMode="auto">
          <a:xfrm>
            <a:off x="336" y="249"/>
            <a:ext cx="51" cy="29"/>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0" name="Text Box 5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1" name="Text Box 5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Good</a:t>
            </a:r>
          </a:p>
          <a:p>
            <a:pPr algn="l" rtl="0">
              <a:defRPr sz="1000"/>
            </a:pP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15</xdr:col>
      <xdr:colOff>533400</xdr:colOff>
      <xdr:row>6</xdr:row>
      <xdr:rowOff>28575</xdr:rowOff>
    </xdr:from>
    <xdr:to>
      <xdr:col>17</xdr:col>
      <xdr:colOff>0</xdr:colOff>
      <xdr:row>12</xdr:row>
      <xdr:rowOff>57150</xdr:rowOff>
    </xdr:to>
    <xdr:grpSp>
      <xdr:nvGrpSpPr>
        <xdr:cNvPr id="129349" name="Group 95"/>
        <xdr:cNvGrpSpPr>
          <a:grpSpLocks/>
        </xdr:cNvGrpSpPr>
      </xdr:nvGrpSpPr>
      <xdr:grpSpPr bwMode="auto">
        <a:xfrm>
          <a:off x="8547100" y="2359025"/>
          <a:ext cx="1206500" cy="1209675"/>
          <a:chOff x="315" y="245"/>
          <a:chExt cx="75" cy="123"/>
        </a:xfrm>
      </xdr:grpSpPr>
      <xdr:sp macro="" textlink="">
        <xdr:nvSpPr>
          <xdr:cNvPr id="129378" name="AutoShape 96"/>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9" name="AutoShape 97"/>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80" name="AutoShape 98"/>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16" name="Text Box 99"/>
          <xdr:cNvSpPr txBox="1">
            <a:spLocks noChangeArrowheads="1"/>
          </xdr:cNvSpPr>
        </xdr:nvSpPr>
        <xdr:spPr bwMode="auto">
          <a:xfrm>
            <a:off x="338" y="249"/>
            <a:ext cx="49"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7" name="Text Box 100"/>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18" name="Text Box 101"/>
          <xdr:cNvSpPr txBox="1">
            <a:spLocks noChangeArrowheads="1"/>
          </xdr:cNvSpPr>
        </xdr:nvSpPr>
        <xdr:spPr bwMode="auto">
          <a:xfrm>
            <a:off x="337" y="339"/>
            <a:ext cx="53"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Times New Roman"/>
                <a:ea typeface="+mn-ea"/>
                <a:cs typeface="Times New Roman"/>
              </a:rPr>
              <a:t>Good</a:t>
            </a: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23</xdr:col>
      <xdr:colOff>466725</xdr:colOff>
      <xdr:row>6</xdr:row>
      <xdr:rowOff>38100</xdr:rowOff>
    </xdr:from>
    <xdr:to>
      <xdr:col>25</xdr:col>
      <xdr:colOff>371475</xdr:colOff>
      <xdr:row>12</xdr:row>
      <xdr:rowOff>66675</xdr:rowOff>
    </xdr:to>
    <xdr:grpSp>
      <xdr:nvGrpSpPr>
        <xdr:cNvPr id="129350" name="Group 102"/>
        <xdr:cNvGrpSpPr>
          <a:grpSpLocks/>
        </xdr:cNvGrpSpPr>
      </xdr:nvGrpSpPr>
      <xdr:grpSpPr bwMode="auto">
        <a:xfrm>
          <a:off x="13408025" y="2368550"/>
          <a:ext cx="1003300" cy="1209675"/>
          <a:chOff x="315" y="245"/>
          <a:chExt cx="75" cy="123"/>
        </a:xfrm>
      </xdr:grpSpPr>
      <xdr:sp macro="" textlink="">
        <xdr:nvSpPr>
          <xdr:cNvPr id="129372" name="AutoShape 103"/>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73" name="AutoShape 104"/>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74" name="AutoShape 105"/>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23" name="Text Box 106"/>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4" name="Text Box 107"/>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25" name="Text Box 108"/>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30</xdr:col>
      <xdr:colOff>485775</xdr:colOff>
      <xdr:row>6</xdr:row>
      <xdr:rowOff>28575</xdr:rowOff>
    </xdr:from>
    <xdr:to>
      <xdr:col>32</xdr:col>
      <xdr:colOff>390525</xdr:colOff>
      <xdr:row>12</xdr:row>
      <xdr:rowOff>57150</xdr:rowOff>
    </xdr:to>
    <xdr:grpSp>
      <xdr:nvGrpSpPr>
        <xdr:cNvPr id="129351" name="Group 109"/>
        <xdr:cNvGrpSpPr>
          <a:grpSpLocks/>
        </xdr:cNvGrpSpPr>
      </xdr:nvGrpSpPr>
      <xdr:grpSpPr bwMode="auto">
        <a:xfrm>
          <a:off x="18526125" y="2359025"/>
          <a:ext cx="1003300" cy="1209675"/>
          <a:chOff x="315" y="245"/>
          <a:chExt cx="75" cy="123"/>
        </a:xfrm>
      </xdr:grpSpPr>
      <xdr:sp macro="" textlink="">
        <xdr:nvSpPr>
          <xdr:cNvPr id="129366" name="AutoShape 110"/>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7" name="AutoShape 111"/>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8" name="AutoShape 112"/>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0" name="Text Box 113"/>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1" name="Text Box 114"/>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2" name="Text Box 115"/>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37</xdr:col>
      <xdr:colOff>409575</xdr:colOff>
      <xdr:row>6</xdr:row>
      <xdr:rowOff>28575</xdr:rowOff>
    </xdr:from>
    <xdr:to>
      <xdr:col>39</xdr:col>
      <xdr:colOff>314325</xdr:colOff>
      <xdr:row>12</xdr:row>
      <xdr:rowOff>57150</xdr:rowOff>
    </xdr:to>
    <xdr:grpSp>
      <xdr:nvGrpSpPr>
        <xdr:cNvPr id="129352" name="Group 116"/>
        <xdr:cNvGrpSpPr>
          <a:grpSpLocks/>
        </xdr:cNvGrpSpPr>
      </xdr:nvGrpSpPr>
      <xdr:grpSpPr bwMode="auto">
        <a:xfrm>
          <a:off x="23288625" y="2359025"/>
          <a:ext cx="1123950" cy="1209675"/>
          <a:chOff x="315" y="245"/>
          <a:chExt cx="75" cy="123"/>
        </a:xfrm>
      </xdr:grpSpPr>
      <xdr:sp macro="" textlink="">
        <xdr:nvSpPr>
          <xdr:cNvPr id="129360" name="AutoShape 117"/>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61" name="AutoShape 118"/>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62" name="AutoShape 119"/>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37" name="Text Box 120"/>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8" name="Text Box 121"/>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39" name="Text Box 122"/>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twoCellAnchor>
    <xdr:from>
      <xdr:col>44</xdr:col>
      <xdr:colOff>419100</xdr:colOff>
      <xdr:row>6</xdr:row>
      <xdr:rowOff>28575</xdr:rowOff>
    </xdr:from>
    <xdr:to>
      <xdr:col>46</xdr:col>
      <xdr:colOff>323850</xdr:colOff>
      <xdr:row>12</xdr:row>
      <xdr:rowOff>57150</xdr:rowOff>
    </xdr:to>
    <xdr:grpSp>
      <xdr:nvGrpSpPr>
        <xdr:cNvPr id="129353" name="Group 123"/>
        <xdr:cNvGrpSpPr>
          <a:grpSpLocks/>
        </xdr:cNvGrpSpPr>
      </xdr:nvGrpSpPr>
      <xdr:grpSpPr bwMode="auto">
        <a:xfrm>
          <a:off x="28816300" y="2359025"/>
          <a:ext cx="1200150" cy="1209675"/>
          <a:chOff x="315" y="245"/>
          <a:chExt cx="75" cy="123"/>
        </a:xfrm>
      </xdr:grpSpPr>
      <xdr:sp macro="" textlink="">
        <xdr:nvSpPr>
          <xdr:cNvPr id="129354" name="AutoShape 124"/>
          <xdr:cNvSpPr>
            <a:spLocks/>
          </xdr:cNvSpPr>
        </xdr:nvSpPr>
        <xdr:spPr bwMode="auto">
          <a:xfrm>
            <a:off x="315" y="245"/>
            <a:ext cx="8" cy="36"/>
          </a:xfrm>
          <a:prstGeom prst="rightBrace">
            <a:avLst>
              <a:gd name="adj1" fmla="val 37500"/>
              <a:gd name="adj2" fmla="val 50000"/>
            </a:avLst>
          </a:prstGeom>
          <a:noFill/>
          <a:ln w="9525">
            <a:solidFill>
              <a:srgbClr val="000000"/>
            </a:solidFill>
            <a:round/>
            <a:headEnd/>
            <a:tailEnd/>
          </a:ln>
        </xdr:spPr>
      </xdr:sp>
      <xdr:sp macro="" textlink="">
        <xdr:nvSpPr>
          <xdr:cNvPr id="129355" name="AutoShape 125"/>
          <xdr:cNvSpPr>
            <a:spLocks/>
          </xdr:cNvSpPr>
        </xdr:nvSpPr>
        <xdr:spPr bwMode="auto">
          <a:xfrm>
            <a:off x="316" y="289"/>
            <a:ext cx="8" cy="36"/>
          </a:xfrm>
          <a:prstGeom prst="rightBrace">
            <a:avLst>
              <a:gd name="adj1" fmla="val 37500"/>
              <a:gd name="adj2" fmla="val 50000"/>
            </a:avLst>
          </a:prstGeom>
          <a:noFill/>
          <a:ln w="9525">
            <a:solidFill>
              <a:srgbClr val="000000"/>
            </a:solidFill>
            <a:round/>
            <a:headEnd/>
            <a:tailEnd/>
          </a:ln>
        </xdr:spPr>
      </xdr:sp>
      <xdr:sp macro="" textlink="">
        <xdr:nvSpPr>
          <xdr:cNvPr id="129356" name="AutoShape 126"/>
          <xdr:cNvSpPr>
            <a:spLocks/>
          </xdr:cNvSpPr>
        </xdr:nvSpPr>
        <xdr:spPr bwMode="auto">
          <a:xfrm>
            <a:off x="318" y="329"/>
            <a:ext cx="8" cy="36"/>
          </a:xfrm>
          <a:prstGeom prst="rightBrace">
            <a:avLst>
              <a:gd name="adj1" fmla="val 37500"/>
              <a:gd name="adj2" fmla="val 50000"/>
            </a:avLst>
          </a:prstGeom>
          <a:noFill/>
          <a:ln w="9525">
            <a:solidFill>
              <a:srgbClr val="000000"/>
            </a:solidFill>
            <a:round/>
            <a:headEnd/>
            <a:tailEnd/>
          </a:ln>
        </xdr:spPr>
      </xdr:sp>
      <xdr:sp macro="" textlink="">
        <xdr:nvSpPr>
          <xdr:cNvPr id="144" name="Text Box 127"/>
          <xdr:cNvSpPr txBox="1">
            <a:spLocks noChangeArrowheads="1"/>
          </xdr:cNvSpPr>
        </xdr:nvSpPr>
        <xdr:spPr bwMode="auto">
          <a:xfrm>
            <a:off x="336" y="249"/>
            <a:ext cx="51" cy="31"/>
          </a:xfrm>
          <a:prstGeom prst="rect">
            <a:avLst/>
          </a:prstGeom>
          <a:solidFill>
            <a:srgbClr val="33993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Best</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5" name="Text Box 128"/>
          <xdr:cNvSpPr txBox="1">
            <a:spLocks noChangeArrowheads="1"/>
          </xdr:cNvSpPr>
        </xdr:nvSpPr>
        <xdr:spPr bwMode="auto">
          <a:xfrm>
            <a:off x="338" y="297"/>
            <a:ext cx="51" cy="29"/>
          </a:xfrm>
          <a:prstGeom prst="rect">
            <a:avLst/>
          </a:prstGeom>
          <a:solidFill>
            <a:srgbClr val="FCF305"/>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Better</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sp macro="" textlink="">
        <xdr:nvSpPr>
          <xdr:cNvPr id="146" name="Text Box 129"/>
          <xdr:cNvSpPr txBox="1">
            <a:spLocks noChangeArrowheads="1"/>
          </xdr:cNvSpPr>
        </xdr:nvSpPr>
        <xdr:spPr bwMode="auto">
          <a:xfrm>
            <a:off x="339" y="339"/>
            <a:ext cx="51" cy="29"/>
          </a:xfrm>
          <a:prstGeom prst="rect">
            <a:avLst/>
          </a:prstGeom>
          <a:solidFill>
            <a:schemeClr val="bg2">
              <a:lumMod val="75000"/>
            </a:schemeClr>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Good</a:t>
            </a:r>
            <a:endParaRPr lang="en-US" sz="1000" b="1" i="0" u="none" strike="noStrike" baseline="0">
              <a:solidFill>
                <a:srgbClr val="000000"/>
              </a:solidFill>
              <a:latin typeface="Times New Roman"/>
              <a:cs typeface="Times New Roman"/>
            </a:endParaRPr>
          </a:p>
          <a:p>
            <a:pPr algn="l" rtl="0">
              <a:defRPr sz="1000"/>
            </a:pPr>
            <a:endParaRPr lang="en-US" sz="1000" b="1" i="0" u="none" strike="noStrike" baseline="0">
              <a:solidFill>
                <a:srgbClr val="000000"/>
              </a:solidFill>
              <a:latin typeface="Times New Roman"/>
              <a:cs typeface="Times New Roman"/>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419100</xdr:colOff>
      <xdr:row>10</xdr:row>
      <xdr:rowOff>147440</xdr:rowOff>
    </xdr:from>
    <xdr:to>
      <xdr:col>13</xdr:col>
      <xdr:colOff>503952</xdr:colOff>
      <xdr:row>26</xdr:row>
      <xdr:rowOff>53775</xdr:rowOff>
    </xdr:to>
    <xdr:sp macro="" textlink="">
      <xdr:nvSpPr>
        <xdr:cNvPr id="3" name="Rectangle 2"/>
        <xdr:cNvSpPr>
          <a:spLocks noChangeArrowheads="1"/>
        </xdr:cNvSpPr>
      </xdr:nvSpPr>
      <xdr:spPr bwMode="auto">
        <a:xfrm>
          <a:off x="419100" y="14187290"/>
          <a:ext cx="8676402" cy="2954335"/>
        </a:xfrm>
        <a:prstGeom prst="rect">
          <a:avLst/>
        </a:prstGeom>
        <a:noFill/>
        <a:ln w="9525">
          <a:noFill/>
          <a:miter lim="800000"/>
          <a:headEnd/>
          <a:tailEnd/>
        </a:ln>
        <a:effectLst/>
      </xdr:spPr>
      <xdr:txBody>
        <a:bodyPr vert="horz" wrap="square" lIns="91440" tIns="45720" rIns="91440" bIns="45720" numCol="1" anchor="ctr" anchorCtr="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Command wide Activities/Events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Programming targeted to the interest of the entire crew often with a particular theme or focus. Examples include command fun run, wellness fair, golf outing,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Competition/Tournaments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or events challenging the participant’s physical skills. These may be individual or team activities, comprised of men, women or coed participants. Examples include, DC Olympics, basketball shootout, electronic triathlon, arm wrestling, incentive programs, Captains Cup, etc. </a:t>
          </a:r>
          <a:r>
            <a:rPr lang="en-US" sz="1400">
              <a:solidFill>
                <a:prstClr val="black"/>
              </a:solidFill>
              <a:latin typeface="Arial" pitchFamily="34" charset="0"/>
              <a:ea typeface="Times New Roman" pitchFamily="18" charset="0"/>
              <a:cs typeface="Arial" pitchFamily="34" charset="0"/>
            </a:rPr>
            <a:t>bench press competition</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b="1">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b="1">
              <a:solidFill>
                <a:prstClr val="black"/>
              </a:solidFill>
              <a:latin typeface="Arial" pitchFamily="34" charset="0"/>
              <a:ea typeface="Times New Roman" pitchFamily="18" charset="0"/>
              <a:cs typeface="Arial" pitchFamily="34" charset="0"/>
            </a:rPr>
            <a:t>Directed Activities</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buFontTx/>
            <a:buChar char="•"/>
            <a:tabLst>
              <a:tab pos="457200" algn="l"/>
            </a:tabLst>
          </a:pPr>
          <a:r>
            <a:rPr lang="en-US" sz="1200">
              <a:solidFill>
                <a:prstClr val="black"/>
              </a:solidFill>
              <a:latin typeface="Arial" pitchFamily="34" charset="0"/>
              <a:ea typeface="Times New Roman" pitchFamily="18" charset="0"/>
              <a:cs typeface="Arial" pitchFamily="34" charset="0"/>
            </a:rPr>
            <a:t>Activities that are led and programmed by the RSO/staff/CFL, a skilled and motivated crewmember or contracted professional. Examples include aerobics, group exercise, remedial PT, fitness assessment, , smoking cessation, personal training, etc.</a:t>
          </a:r>
          <a:endParaRPr lang="en-US" sz="1400">
            <a:solidFill>
              <a:prstClr val="black"/>
            </a:solidFill>
            <a:latin typeface="Arial" pitchFamily="34" charset="0"/>
            <a:cs typeface="Arial" pitchFamily="34" charset="0"/>
          </a:endParaRPr>
        </a:p>
        <a:p>
          <a:pPr lvl="0" eaLnBrk="0" fontAlgn="base" hangingPunct="0">
            <a:spcBef>
              <a:spcPct val="0"/>
            </a:spcBef>
            <a:spcAft>
              <a:spcPct val="0"/>
            </a:spcAft>
            <a:tabLst>
              <a:tab pos="457200" algn="l"/>
            </a:tabLst>
          </a:pPr>
          <a:endParaRPr lang="en-US" sz="1200">
            <a:solidFill>
              <a:prstClr val="black"/>
            </a:solidFill>
            <a:latin typeface="Arial" pitchFamily="34" charset="0"/>
            <a:ea typeface="Times New Roman" pitchFamily="18" charset="0"/>
            <a:cs typeface="Arial" pitchFamily="34" charset="0"/>
          </a:endParaRPr>
        </a:p>
        <a:p>
          <a:pPr lvl="0" eaLnBrk="0" fontAlgn="base" hangingPunct="0">
            <a:spcBef>
              <a:spcPct val="0"/>
            </a:spcBef>
            <a:spcAft>
              <a:spcPct val="0"/>
            </a:spcAft>
            <a:tabLst>
              <a:tab pos="457200" algn="l"/>
            </a:tabLst>
          </a:pPr>
          <a:r>
            <a:rPr lang="en-US" sz="1200">
              <a:solidFill>
                <a:prstClr val="black"/>
              </a:solidFill>
              <a:latin typeface="Arial" pitchFamily="34" charset="0"/>
              <a:ea typeface="Times New Roman" pitchFamily="18" charset="0"/>
              <a:cs typeface="Arial" pitchFamily="34" charset="0"/>
            </a:rPr>
            <a:t>The listed frequencies and categories of recreation activities and events should be offered in the Afloat Fitness Program.  The total number (standard) of monthly activities and events for each installation size is shown below.</a:t>
          </a:r>
          <a:endParaRPr lang="en-US" sz="1400">
            <a:solidFill>
              <a:prstClr val="black"/>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39</xdr:row>
          <xdr:rowOff>0</xdr:rowOff>
        </xdr:from>
        <xdr:to>
          <xdr:col>1</xdr:col>
          <xdr:colOff>609600</xdr:colOff>
          <xdr:row>60</xdr:row>
          <xdr:rowOff>0</xdr:rowOff>
        </xdr:to>
        <xdr:grpSp>
          <xdr:nvGrpSpPr>
            <xdr:cNvPr id="4" name="Group 3"/>
            <xdr:cNvGrpSpPr/>
          </xdr:nvGrpSpPr>
          <xdr:grpSpPr>
            <a:xfrm>
              <a:off x="5048250" y="1781175"/>
              <a:ext cx="190500" cy="1781175"/>
              <a:chOff x="5048250" y="0"/>
              <a:chExt cx="190500" cy="1781175"/>
            </a:xfrm>
          </xdr:grpSpPr>
          <xdr:sp macro="" textlink="">
            <xdr:nvSpPr>
              <xdr:cNvPr id="45170" name="Check Box 114" hidden="1">
                <a:extLst>
                  <a:ext uri="{63B3BB69-23CF-44E3-9099-C40C66FF867C}">
                    <a14:compatExt spid="_x0000_s4517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1" name="Check Box 115" hidden="1">
                <a:extLst>
                  <a:ext uri="{63B3BB69-23CF-44E3-9099-C40C66FF867C}">
                    <a14:compatExt spid="_x0000_s4517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2" name="Check Box 116" hidden="1">
                <a:extLst>
                  <a:ext uri="{63B3BB69-23CF-44E3-9099-C40C66FF867C}">
                    <a14:compatExt spid="_x0000_s4517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3" name="Check Box 117" hidden="1">
                <a:extLst>
                  <a:ext uri="{63B3BB69-23CF-44E3-9099-C40C66FF867C}">
                    <a14:compatExt spid="_x0000_s4517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4" name="Check Box 118" hidden="1">
                <a:extLst>
                  <a:ext uri="{63B3BB69-23CF-44E3-9099-C40C66FF867C}">
                    <a14:compatExt spid="_x0000_s4517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5" name="Check Box 119" hidden="1">
                <a:extLst>
                  <a:ext uri="{63B3BB69-23CF-44E3-9099-C40C66FF867C}">
                    <a14:compatExt spid="_x0000_s4517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6" name="Check Box 120" hidden="1">
                <a:extLst>
                  <a:ext uri="{63B3BB69-23CF-44E3-9099-C40C66FF867C}">
                    <a14:compatExt spid="_x0000_s4517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7" name="Check Box 121" hidden="1">
                <a:extLst>
                  <a:ext uri="{63B3BB69-23CF-44E3-9099-C40C66FF867C}">
                    <a14:compatExt spid="_x0000_s4517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8" name="Check Box 122" hidden="1">
                <a:extLst>
                  <a:ext uri="{63B3BB69-23CF-44E3-9099-C40C66FF867C}">
                    <a14:compatExt spid="_x0000_s4517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79" name="Check Box 123" hidden="1">
                <a:extLst>
                  <a:ext uri="{63B3BB69-23CF-44E3-9099-C40C66FF867C}">
                    <a14:compatExt spid="_x0000_s4517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0" name="Check Box 124" hidden="1">
                <a:extLst>
                  <a:ext uri="{63B3BB69-23CF-44E3-9099-C40C66FF867C}">
                    <a14:compatExt spid="_x0000_s4518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1" name="Check Box 125" hidden="1">
                <a:extLst>
                  <a:ext uri="{63B3BB69-23CF-44E3-9099-C40C66FF867C}">
                    <a14:compatExt spid="_x0000_s4518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2" name="Check Box 126" hidden="1">
                <a:extLst>
                  <a:ext uri="{63B3BB69-23CF-44E3-9099-C40C66FF867C}">
                    <a14:compatExt spid="_x0000_s4518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4" name="Check Box 128" hidden="1">
                <a:extLst>
                  <a:ext uri="{63B3BB69-23CF-44E3-9099-C40C66FF867C}">
                    <a14:compatExt spid="_x0000_s4518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5" name="Check Box 129" hidden="1">
                <a:extLst>
                  <a:ext uri="{63B3BB69-23CF-44E3-9099-C40C66FF867C}">
                    <a14:compatExt spid="_x0000_s4518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6" name="Check Box 130" hidden="1">
                <a:extLst>
                  <a:ext uri="{63B3BB69-23CF-44E3-9099-C40C66FF867C}">
                    <a14:compatExt spid="_x0000_s4518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7" name="Check Box 131" hidden="1">
                <a:extLst>
                  <a:ext uri="{63B3BB69-23CF-44E3-9099-C40C66FF867C}">
                    <a14:compatExt spid="_x0000_s4518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8" name="Check Box 132" hidden="1">
                <a:extLst>
                  <a:ext uri="{63B3BB69-23CF-44E3-9099-C40C66FF867C}">
                    <a14:compatExt spid="_x0000_s4518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9" name="Check Box 133" hidden="1">
                <a:extLst>
                  <a:ext uri="{63B3BB69-23CF-44E3-9099-C40C66FF867C}">
                    <a14:compatExt spid="_x0000_s4518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0" name="Check Box 134" hidden="1">
                <a:extLst>
                  <a:ext uri="{63B3BB69-23CF-44E3-9099-C40C66FF867C}">
                    <a14:compatExt spid="_x0000_s4519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xdr:row>
          <xdr:rowOff>0</xdr:rowOff>
        </xdr:from>
        <xdr:to>
          <xdr:col>1</xdr:col>
          <xdr:colOff>609600</xdr:colOff>
          <xdr:row>32</xdr:row>
          <xdr:rowOff>0</xdr:rowOff>
        </xdr:to>
        <xdr:grpSp>
          <xdr:nvGrpSpPr>
            <xdr:cNvPr id="3" name="Group 2"/>
            <xdr:cNvGrpSpPr/>
          </xdr:nvGrpSpPr>
          <xdr:grpSpPr>
            <a:xfrm>
              <a:off x="5048250" y="1781175"/>
              <a:ext cx="190500" cy="1781175"/>
              <a:chOff x="5048250" y="0"/>
              <a:chExt cx="190500" cy="1781175"/>
            </a:xfrm>
          </xdr:grpSpPr>
          <xdr:sp macro="" textlink="">
            <xdr:nvSpPr>
              <xdr:cNvPr id="45191" name="Check Box 135" hidden="1">
                <a:extLst>
                  <a:ext uri="{63B3BB69-23CF-44E3-9099-C40C66FF867C}">
                    <a14:compatExt spid="_x0000_s4519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2" name="Check Box 136" hidden="1">
                <a:extLst>
                  <a:ext uri="{63B3BB69-23CF-44E3-9099-C40C66FF867C}">
                    <a14:compatExt spid="_x0000_s4519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3" name="Check Box 137" hidden="1">
                <a:extLst>
                  <a:ext uri="{63B3BB69-23CF-44E3-9099-C40C66FF867C}">
                    <a14:compatExt spid="_x0000_s4519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4" name="Check Box 138" hidden="1">
                <a:extLst>
                  <a:ext uri="{63B3BB69-23CF-44E3-9099-C40C66FF867C}">
                    <a14:compatExt spid="_x0000_s4519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5" name="Check Box 139" hidden="1">
                <a:extLst>
                  <a:ext uri="{63B3BB69-23CF-44E3-9099-C40C66FF867C}">
                    <a14:compatExt spid="_x0000_s4519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6" name="Check Box 140" hidden="1">
                <a:extLst>
                  <a:ext uri="{63B3BB69-23CF-44E3-9099-C40C66FF867C}">
                    <a14:compatExt spid="_x0000_s45196"/>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7" name="Check Box 141" hidden="1">
                <a:extLst>
                  <a:ext uri="{63B3BB69-23CF-44E3-9099-C40C66FF867C}">
                    <a14:compatExt spid="_x0000_s45197"/>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8" name="Check Box 142" hidden="1">
                <a:extLst>
                  <a:ext uri="{63B3BB69-23CF-44E3-9099-C40C66FF867C}">
                    <a14:compatExt spid="_x0000_s45198"/>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9" name="Check Box 143" hidden="1">
                <a:extLst>
                  <a:ext uri="{63B3BB69-23CF-44E3-9099-C40C66FF867C}">
                    <a14:compatExt spid="_x0000_s45199"/>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0" name="Check Box 144" hidden="1">
                <a:extLst>
                  <a:ext uri="{63B3BB69-23CF-44E3-9099-C40C66FF867C}">
                    <a14:compatExt spid="_x0000_s45200"/>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1" name="Check Box 145" hidden="1">
                <a:extLst>
                  <a:ext uri="{63B3BB69-23CF-44E3-9099-C40C66FF867C}">
                    <a14:compatExt spid="_x0000_s45201"/>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2" name="Check Box 146" hidden="1">
                <a:extLst>
                  <a:ext uri="{63B3BB69-23CF-44E3-9099-C40C66FF867C}">
                    <a14:compatExt spid="_x0000_s45202"/>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3" name="Check Box 147" hidden="1">
                <a:extLst>
                  <a:ext uri="{63B3BB69-23CF-44E3-9099-C40C66FF867C}">
                    <a14:compatExt spid="_x0000_s45203"/>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4" name="Check Box 148" hidden="1">
                <a:extLst>
                  <a:ext uri="{63B3BB69-23CF-44E3-9099-C40C66FF867C}">
                    <a14:compatExt spid="_x0000_s45204"/>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5" name="Check Box 149" hidden="1">
                <a:extLst>
                  <a:ext uri="{63B3BB69-23CF-44E3-9099-C40C66FF867C}">
                    <a14:compatExt spid="_x0000_s45205"/>
                  </a:ext>
                </a:extLst>
              </xdr:cNvPr>
              <xdr:cNvSpPr/>
            </xdr:nvSpPr>
            <xdr:spPr bwMode="auto">
              <a:xfrm>
                <a:off x="5076824" y="1781175"/>
                <a:ext cx="16192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7" name="Check Box 151" hidden="1">
                <a:extLst>
                  <a:ext uri="{63B3BB69-23CF-44E3-9099-C40C66FF867C}">
                    <a14:compatExt spid="_x0000_s4520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8" name="Check Box 152" hidden="1">
                <a:extLst>
                  <a:ext uri="{63B3BB69-23CF-44E3-9099-C40C66FF867C}">
                    <a14:compatExt spid="_x0000_s4520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9" name="Check Box 153" hidden="1">
                <a:extLst>
                  <a:ext uri="{63B3BB69-23CF-44E3-9099-C40C66FF867C}">
                    <a14:compatExt spid="_x0000_s4520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0" name="Check Box 154" hidden="1">
                <a:extLst>
                  <a:ext uri="{63B3BB69-23CF-44E3-9099-C40C66FF867C}">
                    <a14:compatExt spid="_x0000_s4521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1" name="Check Box 155" hidden="1">
                <a:extLst>
                  <a:ext uri="{63B3BB69-23CF-44E3-9099-C40C66FF867C}">
                    <a14:compatExt spid="_x0000_s4521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2" name="Check Box 156" hidden="1">
                <a:extLst>
                  <a:ext uri="{63B3BB69-23CF-44E3-9099-C40C66FF867C}">
                    <a14:compatExt spid="_x0000_s4521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3" name="Check Box 157" hidden="1">
                <a:extLst>
                  <a:ext uri="{63B3BB69-23CF-44E3-9099-C40C66FF867C}">
                    <a14:compatExt spid="_x0000_s4521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69</xdr:row>
          <xdr:rowOff>0</xdr:rowOff>
        </xdr:from>
        <xdr:to>
          <xdr:col>1</xdr:col>
          <xdr:colOff>609600</xdr:colOff>
          <xdr:row>85</xdr:row>
          <xdr:rowOff>0</xdr:rowOff>
        </xdr:to>
        <xdr:grpSp>
          <xdr:nvGrpSpPr>
            <xdr:cNvPr id="5" name="Group 4"/>
            <xdr:cNvGrpSpPr/>
          </xdr:nvGrpSpPr>
          <xdr:grpSpPr>
            <a:xfrm>
              <a:off x="5048250" y="1781175"/>
              <a:ext cx="190500" cy="1781175"/>
              <a:chOff x="5048250" y="0"/>
              <a:chExt cx="190500" cy="1781175"/>
            </a:xfrm>
          </xdr:grpSpPr>
          <xdr:sp macro="" textlink="">
            <xdr:nvSpPr>
              <xdr:cNvPr id="45214" name="Check Box 158" hidden="1">
                <a:extLst>
                  <a:ext uri="{63B3BB69-23CF-44E3-9099-C40C66FF867C}">
                    <a14:compatExt spid="_x0000_s4521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5" name="Check Box 159" hidden="1">
                <a:extLst>
                  <a:ext uri="{63B3BB69-23CF-44E3-9099-C40C66FF867C}">
                    <a14:compatExt spid="_x0000_s4521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6" name="Check Box 160" hidden="1">
                <a:extLst>
                  <a:ext uri="{63B3BB69-23CF-44E3-9099-C40C66FF867C}">
                    <a14:compatExt spid="_x0000_s4521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7" name="Check Box 161" hidden="1">
                <a:extLst>
                  <a:ext uri="{63B3BB69-23CF-44E3-9099-C40C66FF867C}">
                    <a14:compatExt spid="_x0000_s4521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8" name="Check Box 162" hidden="1">
                <a:extLst>
                  <a:ext uri="{63B3BB69-23CF-44E3-9099-C40C66FF867C}">
                    <a14:compatExt spid="_x0000_s4521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19" name="Check Box 163" hidden="1">
                <a:extLst>
                  <a:ext uri="{63B3BB69-23CF-44E3-9099-C40C66FF867C}">
                    <a14:compatExt spid="_x0000_s4521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0" name="Check Box 164" hidden="1">
                <a:extLst>
                  <a:ext uri="{63B3BB69-23CF-44E3-9099-C40C66FF867C}">
                    <a14:compatExt spid="_x0000_s4522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1" name="Check Box 165" hidden="1">
                <a:extLst>
                  <a:ext uri="{63B3BB69-23CF-44E3-9099-C40C66FF867C}">
                    <a14:compatExt spid="_x0000_s4522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4" name="Check Box 168" hidden="1">
                <a:extLst>
                  <a:ext uri="{63B3BB69-23CF-44E3-9099-C40C66FF867C}">
                    <a14:compatExt spid="_x0000_s4522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5" name="Check Box 169" hidden="1">
                <a:extLst>
                  <a:ext uri="{63B3BB69-23CF-44E3-9099-C40C66FF867C}">
                    <a14:compatExt spid="_x0000_s4522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6" name="Check Box 170" hidden="1">
                <a:extLst>
                  <a:ext uri="{63B3BB69-23CF-44E3-9099-C40C66FF867C}">
                    <a14:compatExt spid="_x0000_s4522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7" name="Check Box 171" hidden="1">
                <a:extLst>
                  <a:ext uri="{63B3BB69-23CF-44E3-9099-C40C66FF867C}">
                    <a14:compatExt spid="_x0000_s45227"/>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8" name="Check Box 172" hidden="1">
                <a:extLst>
                  <a:ext uri="{63B3BB69-23CF-44E3-9099-C40C66FF867C}">
                    <a14:compatExt spid="_x0000_s4522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9" name="Check Box 173" hidden="1">
                <a:extLst>
                  <a:ext uri="{63B3BB69-23CF-44E3-9099-C40C66FF867C}">
                    <a14:compatExt spid="_x0000_s4522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0" name="Check Box 174" hidden="1">
                <a:extLst>
                  <a:ext uri="{63B3BB69-23CF-44E3-9099-C40C66FF867C}">
                    <a14:compatExt spid="_x0000_s45230"/>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94</xdr:row>
          <xdr:rowOff>0</xdr:rowOff>
        </xdr:from>
        <xdr:to>
          <xdr:col>1</xdr:col>
          <xdr:colOff>609600</xdr:colOff>
          <xdr:row>108</xdr:row>
          <xdr:rowOff>0</xdr:rowOff>
        </xdr:to>
        <xdr:grpSp>
          <xdr:nvGrpSpPr>
            <xdr:cNvPr id="6" name="Group 5"/>
            <xdr:cNvGrpSpPr/>
          </xdr:nvGrpSpPr>
          <xdr:grpSpPr>
            <a:xfrm>
              <a:off x="5048250" y="1781175"/>
              <a:ext cx="190500" cy="1781175"/>
              <a:chOff x="5048250" y="0"/>
              <a:chExt cx="190500" cy="1781175"/>
            </a:xfrm>
          </xdr:grpSpPr>
          <xdr:sp macro="" textlink="">
            <xdr:nvSpPr>
              <xdr:cNvPr id="45231" name="Check Box 175" hidden="1">
                <a:extLst>
                  <a:ext uri="{63B3BB69-23CF-44E3-9099-C40C66FF867C}">
                    <a14:compatExt spid="_x0000_s4523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2" name="Check Box 176" hidden="1">
                <a:extLst>
                  <a:ext uri="{63B3BB69-23CF-44E3-9099-C40C66FF867C}">
                    <a14:compatExt spid="_x0000_s4523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3" name="Check Box 177" hidden="1">
                <a:extLst>
                  <a:ext uri="{63B3BB69-23CF-44E3-9099-C40C66FF867C}">
                    <a14:compatExt spid="_x0000_s4523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4" name="Check Box 178" hidden="1">
                <a:extLst>
                  <a:ext uri="{63B3BB69-23CF-44E3-9099-C40C66FF867C}">
                    <a14:compatExt spid="_x0000_s45234"/>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5" name="Check Box 179" hidden="1">
                <a:extLst>
                  <a:ext uri="{63B3BB69-23CF-44E3-9099-C40C66FF867C}">
                    <a14:compatExt spid="_x0000_s45235"/>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6" name="Check Box 180" hidden="1">
                <a:extLst>
                  <a:ext uri="{63B3BB69-23CF-44E3-9099-C40C66FF867C}">
                    <a14:compatExt spid="_x0000_s45236"/>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8" name="Check Box 182" hidden="1">
                <a:extLst>
                  <a:ext uri="{63B3BB69-23CF-44E3-9099-C40C66FF867C}">
                    <a14:compatExt spid="_x0000_s45238"/>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9" name="Check Box 183" hidden="1">
                <a:extLst>
                  <a:ext uri="{63B3BB69-23CF-44E3-9099-C40C66FF867C}">
                    <a14:compatExt spid="_x0000_s45239"/>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0" name="Check Box 184" hidden="1">
                <a:extLst>
                  <a:ext uri="{63B3BB69-23CF-44E3-9099-C40C66FF867C}">
                    <a14:compatExt spid="_x0000_s45240"/>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1" name="Check Box 185" hidden="1">
                <a:extLst>
                  <a:ext uri="{63B3BB69-23CF-44E3-9099-C40C66FF867C}">
                    <a14:compatExt spid="_x0000_s45241"/>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2" name="Check Box 186" hidden="1">
                <a:extLst>
                  <a:ext uri="{63B3BB69-23CF-44E3-9099-C40C66FF867C}">
                    <a14:compatExt spid="_x0000_s45242"/>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3" name="Check Box 187" hidden="1">
                <a:extLst>
                  <a:ext uri="{63B3BB69-23CF-44E3-9099-C40C66FF867C}">
                    <a14:compatExt spid="_x0000_s45243"/>
                  </a:ext>
                </a:extLst>
              </xdr:cNvPr>
              <xdr:cNvSpPr/>
            </xdr:nvSpPr>
            <xdr:spPr bwMode="auto">
              <a:xfrm>
                <a:off x="5048250" y="17811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4" name="Check Box 188" hidden="1">
                <a:extLst>
                  <a:ext uri="{63B3BB69-23CF-44E3-9099-C40C66FF867C}">
                    <a14:compatExt spid="_x0000_s45244"/>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115</xdr:row>
          <xdr:rowOff>0</xdr:rowOff>
        </xdr:from>
        <xdr:to>
          <xdr:col>1</xdr:col>
          <xdr:colOff>609600</xdr:colOff>
          <xdr:row>116</xdr:row>
          <xdr:rowOff>12700</xdr:rowOff>
        </xdr:to>
        <xdr:sp macro="" textlink="">
          <xdr:nvSpPr>
            <xdr:cNvPr id="45245" name="Check Box 189" hidden="1">
              <a:extLst>
                <a:ext uri="{63B3BB69-23CF-44E3-9099-C40C66FF867C}">
                  <a14:compatExt spid="_x0000_s4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116</xdr:row>
          <xdr:rowOff>0</xdr:rowOff>
        </xdr:from>
        <xdr:to>
          <xdr:col>1</xdr:col>
          <xdr:colOff>609600</xdr:colOff>
          <xdr:row>117</xdr:row>
          <xdr:rowOff>12700</xdr:rowOff>
        </xdr:to>
        <xdr:sp macro="" textlink="">
          <xdr:nvSpPr>
            <xdr:cNvPr id="45246" name="Check Box 190" hidden="1">
              <a:extLst>
                <a:ext uri="{63B3BB69-23CF-44E3-9099-C40C66FF867C}">
                  <a14:compatExt spid="_x0000_s4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117</xdr:row>
          <xdr:rowOff>0</xdr:rowOff>
        </xdr:from>
        <xdr:to>
          <xdr:col>1</xdr:col>
          <xdr:colOff>609600</xdr:colOff>
          <xdr:row>118</xdr:row>
          <xdr:rowOff>12700</xdr:rowOff>
        </xdr:to>
        <xdr:sp macro="" textlink="">
          <xdr:nvSpPr>
            <xdr:cNvPr id="45247" name="Check Box 191" hidden="1">
              <a:extLst>
                <a:ext uri="{63B3BB69-23CF-44E3-9099-C40C66FF867C}">
                  <a14:compatExt spid="_x0000_s4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118</xdr:row>
          <xdr:rowOff>0</xdr:rowOff>
        </xdr:from>
        <xdr:to>
          <xdr:col>1</xdr:col>
          <xdr:colOff>609600</xdr:colOff>
          <xdr:row>119</xdr:row>
          <xdr:rowOff>19050</xdr:rowOff>
        </xdr:to>
        <xdr:sp macro="" textlink="">
          <xdr:nvSpPr>
            <xdr:cNvPr id="45248" name="Check Box 192" hidden="1">
              <a:extLst>
                <a:ext uri="{63B3BB69-23CF-44E3-9099-C40C66FF867C}">
                  <a14:compatExt spid="_x0000_s45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119</xdr:row>
          <xdr:rowOff>12700</xdr:rowOff>
        </xdr:from>
        <xdr:to>
          <xdr:col>1</xdr:col>
          <xdr:colOff>609600</xdr:colOff>
          <xdr:row>120</xdr:row>
          <xdr:rowOff>0</xdr:rowOff>
        </xdr:to>
        <xdr:sp macro="" textlink="">
          <xdr:nvSpPr>
            <xdr:cNvPr id="45249" name="Check Box 193" hidden="1">
              <a:extLst>
                <a:ext uri="{63B3BB69-23CF-44E3-9099-C40C66FF867C}">
                  <a14:compatExt spid="_x0000_s45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121</xdr:row>
          <xdr:rowOff>0</xdr:rowOff>
        </xdr:from>
        <xdr:to>
          <xdr:col>1</xdr:col>
          <xdr:colOff>609600</xdr:colOff>
          <xdr:row>122</xdr:row>
          <xdr:rowOff>12700</xdr:rowOff>
        </xdr:to>
        <xdr:sp macro="" textlink="">
          <xdr:nvSpPr>
            <xdr:cNvPr id="45251" name="Check Box 195" hidden="1">
              <a:extLst>
                <a:ext uri="{63B3BB69-23CF-44E3-9099-C40C66FF867C}">
                  <a14:compatExt spid="_x0000_s45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122</xdr:row>
          <xdr:rowOff>0</xdr:rowOff>
        </xdr:from>
        <xdr:to>
          <xdr:col>1</xdr:col>
          <xdr:colOff>609600</xdr:colOff>
          <xdr:row>123</xdr:row>
          <xdr:rowOff>12700</xdr:rowOff>
        </xdr:to>
        <xdr:sp macro="" textlink="">
          <xdr:nvSpPr>
            <xdr:cNvPr id="45252" name="Check Box 196" hidden="1">
              <a:extLst>
                <a:ext uri="{63B3BB69-23CF-44E3-9099-C40C66FF867C}">
                  <a14:compatExt spid="_x0000_s45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123</xdr:row>
          <xdr:rowOff>0</xdr:rowOff>
        </xdr:from>
        <xdr:to>
          <xdr:col>1</xdr:col>
          <xdr:colOff>609600</xdr:colOff>
          <xdr:row>124</xdr:row>
          <xdr:rowOff>12700</xdr:rowOff>
        </xdr:to>
        <xdr:sp macro="" textlink="">
          <xdr:nvSpPr>
            <xdr:cNvPr id="45253" name="Check Box 197" hidden="1">
              <a:extLst>
                <a:ext uri="{63B3BB69-23CF-44E3-9099-C40C66FF867C}">
                  <a14:compatExt spid="_x0000_s45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133</xdr:row>
          <xdr:rowOff>0</xdr:rowOff>
        </xdr:from>
        <xdr:to>
          <xdr:col>1</xdr:col>
          <xdr:colOff>609600</xdr:colOff>
          <xdr:row>142</xdr:row>
          <xdr:rowOff>0</xdr:rowOff>
        </xdr:to>
        <xdr:grpSp>
          <xdr:nvGrpSpPr>
            <xdr:cNvPr id="9" name="Group 8"/>
            <xdr:cNvGrpSpPr/>
          </xdr:nvGrpSpPr>
          <xdr:grpSpPr>
            <a:xfrm>
              <a:off x="5048250" y="5667375"/>
              <a:ext cx="190500" cy="5667375"/>
              <a:chOff x="5048250" y="0"/>
              <a:chExt cx="190500" cy="5667375"/>
            </a:xfrm>
          </xdr:grpSpPr>
          <xdr:sp macro="" textlink="">
            <xdr:nvSpPr>
              <xdr:cNvPr id="45258" name="Check Box 202" hidden="1">
                <a:extLst>
                  <a:ext uri="{63B3BB69-23CF-44E3-9099-C40C66FF867C}">
                    <a14:compatExt spid="_x0000_s45258"/>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59" name="Check Box 203" hidden="1">
                <a:extLst>
                  <a:ext uri="{63B3BB69-23CF-44E3-9099-C40C66FF867C}">
                    <a14:compatExt spid="_x0000_s45259"/>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0" name="Check Box 204" hidden="1">
                <a:extLst>
                  <a:ext uri="{63B3BB69-23CF-44E3-9099-C40C66FF867C}">
                    <a14:compatExt spid="_x0000_s45260"/>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1" name="Check Box 205" hidden="1">
                <a:extLst>
                  <a:ext uri="{63B3BB69-23CF-44E3-9099-C40C66FF867C}">
                    <a14:compatExt spid="_x0000_s45261"/>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2" name="Check Box 206" hidden="1">
                <a:extLst>
                  <a:ext uri="{63B3BB69-23CF-44E3-9099-C40C66FF867C}">
                    <a14:compatExt spid="_x0000_s45262"/>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3" name="Check Box 207" hidden="1">
                <a:extLst>
                  <a:ext uri="{63B3BB69-23CF-44E3-9099-C40C66FF867C}">
                    <a14:compatExt spid="_x0000_s45263"/>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4" name="Check Box 208" hidden="1">
                <a:extLst>
                  <a:ext uri="{63B3BB69-23CF-44E3-9099-C40C66FF867C}">
                    <a14:compatExt spid="_x0000_s45264"/>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5" name="Check Box 209" hidden="1">
                <a:extLst>
                  <a:ext uri="{63B3BB69-23CF-44E3-9099-C40C66FF867C}">
                    <a14:compatExt spid="_x0000_s45265"/>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6" name="Check Box 210" hidden="1">
                <a:extLst>
                  <a:ext uri="{63B3BB69-23CF-44E3-9099-C40C66FF867C}">
                    <a14:compatExt spid="_x0000_s45266"/>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147</xdr:row>
          <xdr:rowOff>0</xdr:rowOff>
        </xdr:from>
        <xdr:to>
          <xdr:col>1</xdr:col>
          <xdr:colOff>609600</xdr:colOff>
          <xdr:row>154</xdr:row>
          <xdr:rowOff>0</xdr:rowOff>
        </xdr:to>
        <xdr:grpSp>
          <xdr:nvGrpSpPr>
            <xdr:cNvPr id="10" name="Group 9"/>
            <xdr:cNvGrpSpPr/>
          </xdr:nvGrpSpPr>
          <xdr:grpSpPr>
            <a:xfrm>
              <a:off x="5048250" y="5667375"/>
              <a:ext cx="190500" cy="5667375"/>
              <a:chOff x="5048250" y="0"/>
              <a:chExt cx="190500" cy="5667375"/>
            </a:xfrm>
          </xdr:grpSpPr>
          <xdr:sp macro="" textlink="">
            <xdr:nvSpPr>
              <xdr:cNvPr id="45267" name="Check Box 211" hidden="1">
                <a:extLst>
                  <a:ext uri="{63B3BB69-23CF-44E3-9099-C40C66FF867C}">
                    <a14:compatExt spid="_x0000_s45267"/>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8" name="Check Box 212" hidden="1">
                <a:extLst>
                  <a:ext uri="{63B3BB69-23CF-44E3-9099-C40C66FF867C}">
                    <a14:compatExt spid="_x0000_s45268"/>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9" name="Check Box 213" hidden="1">
                <a:extLst>
                  <a:ext uri="{63B3BB69-23CF-44E3-9099-C40C66FF867C}">
                    <a14:compatExt spid="_x0000_s45269"/>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0" name="Check Box 214" hidden="1">
                <a:extLst>
                  <a:ext uri="{63B3BB69-23CF-44E3-9099-C40C66FF867C}">
                    <a14:compatExt spid="_x0000_s45270"/>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1" name="Check Box 215" hidden="1">
                <a:extLst>
                  <a:ext uri="{63B3BB69-23CF-44E3-9099-C40C66FF867C}">
                    <a14:compatExt spid="_x0000_s45271"/>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2" name="Check Box 216" hidden="1">
                <a:extLst>
                  <a:ext uri="{63B3BB69-23CF-44E3-9099-C40C66FF867C}">
                    <a14:compatExt spid="_x0000_s45272"/>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3" name="Check Box 217" hidden="1">
                <a:extLst>
                  <a:ext uri="{63B3BB69-23CF-44E3-9099-C40C66FF867C}">
                    <a14:compatExt spid="_x0000_s45273"/>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160</xdr:row>
          <xdr:rowOff>0</xdr:rowOff>
        </xdr:from>
        <xdr:to>
          <xdr:col>1</xdr:col>
          <xdr:colOff>609600</xdr:colOff>
          <xdr:row>167</xdr:row>
          <xdr:rowOff>0</xdr:rowOff>
        </xdr:to>
        <xdr:grpSp>
          <xdr:nvGrpSpPr>
            <xdr:cNvPr id="11" name="Group 10"/>
            <xdr:cNvGrpSpPr/>
          </xdr:nvGrpSpPr>
          <xdr:grpSpPr>
            <a:xfrm>
              <a:off x="5048250" y="5667375"/>
              <a:ext cx="190500" cy="5667375"/>
              <a:chOff x="5048250" y="0"/>
              <a:chExt cx="190500" cy="5667375"/>
            </a:xfrm>
          </xdr:grpSpPr>
          <xdr:sp macro="" textlink="">
            <xdr:nvSpPr>
              <xdr:cNvPr id="45275" name="Check Box 219" hidden="1">
                <a:extLst>
                  <a:ext uri="{63B3BB69-23CF-44E3-9099-C40C66FF867C}">
                    <a14:compatExt spid="_x0000_s45275"/>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6" name="Check Box 220" hidden="1">
                <a:extLst>
                  <a:ext uri="{63B3BB69-23CF-44E3-9099-C40C66FF867C}">
                    <a14:compatExt spid="_x0000_s45276"/>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7" name="Check Box 221" hidden="1">
                <a:extLst>
                  <a:ext uri="{63B3BB69-23CF-44E3-9099-C40C66FF867C}">
                    <a14:compatExt spid="_x0000_s45277"/>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8" name="Check Box 222" hidden="1">
                <a:extLst>
                  <a:ext uri="{63B3BB69-23CF-44E3-9099-C40C66FF867C}">
                    <a14:compatExt spid="_x0000_s45278"/>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9" name="Check Box 223" hidden="1">
                <a:extLst>
                  <a:ext uri="{63B3BB69-23CF-44E3-9099-C40C66FF867C}">
                    <a14:compatExt spid="_x0000_s45279"/>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0" name="Check Box 224" hidden="1">
                <a:extLst>
                  <a:ext uri="{63B3BB69-23CF-44E3-9099-C40C66FF867C}">
                    <a14:compatExt spid="_x0000_s45280"/>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1" name="Check Box 225" hidden="1">
                <a:extLst>
                  <a:ext uri="{63B3BB69-23CF-44E3-9099-C40C66FF867C}">
                    <a14:compatExt spid="_x0000_s45281"/>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173</xdr:row>
          <xdr:rowOff>0</xdr:rowOff>
        </xdr:from>
        <xdr:to>
          <xdr:col>1</xdr:col>
          <xdr:colOff>609600</xdr:colOff>
          <xdr:row>180</xdr:row>
          <xdr:rowOff>0</xdr:rowOff>
        </xdr:to>
        <xdr:grpSp>
          <xdr:nvGrpSpPr>
            <xdr:cNvPr id="12" name="Group 11"/>
            <xdr:cNvGrpSpPr/>
          </xdr:nvGrpSpPr>
          <xdr:grpSpPr>
            <a:xfrm>
              <a:off x="5048250" y="5667375"/>
              <a:ext cx="190500" cy="5667375"/>
              <a:chOff x="5048250" y="0"/>
              <a:chExt cx="190500" cy="5667375"/>
            </a:xfrm>
          </xdr:grpSpPr>
          <xdr:sp macro="" textlink="">
            <xdr:nvSpPr>
              <xdr:cNvPr id="45282" name="Check Box 226" hidden="1">
                <a:extLst>
                  <a:ext uri="{63B3BB69-23CF-44E3-9099-C40C66FF867C}">
                    <a14:compatExt spid="_x0000_s45282"/>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3" name="Check Box 227" hidden="1">
                <a:extLst>
                  <a:ext uri="{63B3BB69-23CF-44E3-9099-C40C66FF867C}">
                    <a14:compatExt spid="_x0000_s45283"/>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4" name="Check Box 228" hidden="1">
                <a:extLst>
                  <a:ext uri="{63B3BB69-23CF-44E3-9099-C40C66FF867C}">
                    <a14:compatExt spid="_x0000_s45284"/>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5" name="Check Box 229" hidden="1">
                <a:extLst>
                  <a:ext uri="{63B3BB69-23CF-44E3-9099-C40C66FF867C}">
                    <a14:compatExt spid="_x0000_s45285"/>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6" name="Check Box 230" hidden="1">
                <a:extLst>
                  <a:ext uri="{63B3BB69-23CF-44E3-9099-C40C66FF867C}">
                    <a14:compatExt spid="_x0000_s45286"/>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7" name="Check Box 231" hidden="1">
                <a:extLst>
                  <a:ext uri="{63B3BB69-23CF-44E3-9099-C40C66FF867C}">
                    <a14:compatExt spid="_x0000_s45287"/>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8" name="Check Box 232" hidden="1">
                <a:extLst>
                  <a:ext uri="{63B3BB69-23CF-44E3-9099-C40C66FF867C}">
                    <a14:compatExt spid="_x0000_s45288"/>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419100</xdr:colOff>
          <xdr:row>186</xdr:row>
          <xdr:rowOff>0</xdr:rowOff>
        </xdr:from>
        <xdr:to>
          <xdr:col>1</xdr:col>
          <xdr:colOff>609600</xdr:colOff>
          <xdr:row>193</xdr:row>
          <xdr:rowOff>0</xdr:rowOff>
        </xdr:to>
        <xdr:grpSp>
          <xdr:nvGrpSpPr>
            <xdr:cNvPr id="13" name="Group 12"/>
            <xdr:cNvGrpSpPr/>
          </xdr:nvGrpSpPr>
          <xdr:grpSpPr>
            <a:xfrm>
              <a:off x="5048250" y="5667375"/>
              <a:ext cx="190500" cy="5667375"/>
              <a:chOff x="5048250" y="0"/>
              <a:chExt cx="190500" cy="5667375"/>
            </a:xfrm>
          </xdr:grpSpPr>
          <xdr:sp macro="" textlink="">
            <xdr:nvSpPr>
              <xdr:cNvPr id="45289" name="Check Box 233" hidden="1">
                <a:extLst>
                  <a:ext uri="{63B3BB69-23CF-44E3-9099-C40C66FF867C}">
                    <a14:compatExt spid="_x0000_s45289"/>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0" name="Check Box 234" hidden="1">
                <a:extLst>
                  <a:ext uri="{63B3BB69-23CF-44E3-9099-C40C66FF867C}">
                    <a14:compatExt spid="_x0000_s45290"/>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1" name="Check Box 235" hidden="1">
                <a:extLst>
                  <a:ext uri="{63B3BB69-23CF-44E3-9099-C40C66FF867C}">
                    <a14:compatExt spid="_x0000_s45291"/>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2" name="Check Box 236" hidden="1">
                <a:extLst>
                  <a:ext uri="{63B3BB69-23CF-44E3-9099-C40C66FF867C}">
                    <a14:compatExt spid="_x0000_s45292"/>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3" name="Check Box 237" hidden="1">
                <a:extLst>
                  <a:ext uri="{63B3BB69-23CF-44E3-9099-C40C66FF867C}">
                    <a14:compatExt spid="_x0000_s45293"/>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4" name="Check Box 238" hidden="1">
                <a:extLst>
                  <a:ext uri="{63B3BB69-23CF-44E3-9099-C40C66FF867C}">
                    <a14:compatExt spid="_x0000_s45294"/>
                  </a:ext>
                </a:extLst>
              </xdr:cNvPr>
              <xdr:cNvSpPr/>
            </xdr:nvSpPr>
            <xdr:spPr bwMode="auto">
              <a:xfrm>
                <a:off x="5048250" y="5667375"/>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95" name="Check Box 239" hidden="1">
                <a:extLst>
                  <a:ext uri="{63B3BB69-23CF-44E3-9099-C40C66FF867C}">
                    <a14:compatExt spid="_x0000_s45295"/>
                  </a:ext>
                </a:extLst>
              </xdr:cNvPr>
              <xdr:cNvSpPr/>
            </xdr:nvSpPr>
            <xdr:spPr bwMode="auto">
              <a:xfrm>
                <a:off x="5048250" y="0"/>
                <a:ext cx="1905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9</xdr:row>
          <xdr:rowOff>190500</xdr:rowOff>
        </xdr:from>
        <xdr:to>
          <xdr:col>2</xdr:col>
          <xdr:colOff>914400</xdr:colOff>
          <xdr:row>9</xdr:row>
          <xdr:rowOff>412750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6</xdr:row>
          <xdr:rowOff>190500</xdr:rowOff>
        </xdr:from>
        <xdr:to>
          <xdr:col>2</xdr:col>
          <xdr:colOff>914400</xdr:colOff>
          <xdr:row>6</xdr:row>
          <xdr:rowOff>552450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xdr:row>
          <xdr:rowOff>95250</xdr:rowOff>
        </xdr:from>
        <xdr:to>
          <xdr:col>2</xdr:col>
          <xdr:colOff>933450</xdr:colOff>
          <xdr:row>8</xdr:row>
          <xdr:rowOff>457200</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419100</xdr:colOff>
          <xdr:row>7</xdr:row>
          <xdr:rowOff>0</xdr:rowOff>
        </xdr:from>
        <xdr:to>
          <xdr:col>2</xdr:col>
          <xdr:colOff>609600</xdr:colOff>
          <xdr:row>9</xdr:row>
          <xdr:rowOff>209550</xdr:rowOff>
        </xdr:to>
        <xdr:grpSp>
          <xdr:nvGrpSpPr>
            <xdr:cNvPr id="2" name="Group 1"/>
            <xdr:cNvGrpSpPr/>
          </xdr:nvGrpSpPr>
          <xdr:grpSpPr>
            <a:xfrm>
              <a:off x="5619750" y="2019301"/>
              <a:ext cx="190500" cy="1670050"/>
              <a:chOff x="5381625" y="8782051"/>
              <a:chExt cx="190500" cy="1676400"/>
            </a:xfrm>
          </xdr:grpSpPr>
          <xdr:sp macro="" textlink="">
            <xdr:nvSpPr>
              <xdr:cNvPr id="25683" name="Check Box 83" hidden="1">
                <a:extLst>
                  <a:ext uri="{63B3BB69-23CF-44E3-9099-C40C66FF867C}">
                    <a14:compatExt spid="_x0000_s25683"/>
                  </a:ext>
                </a:extLst>
              </xdr:cNvPr>
              <xdr:cNvSpPr/>
            </xdr:nvSpPr>
            <xdr:spPr bwMode="auto">
              <a:xfrm>
                <a:off x="5381625" y="8782051"/>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4" name="Check Box 84" hidden="1">
                <a:extLst>
                  <a:ext uri="{63B3BB69-23CF-44E3-9099-C40C66FF867C}">
                    <a14:compatExt spid="_x0000_s25684"/>
                  </a:ext>
                </a:extLst>
              </xdr:cNvPr>
              <xdr:cNvSpPr/>
            </xdr:nvSpPr>
            <xdr:spPr bwMode="auto">
              <a:xfrm>
                <a:off x="5381625" y="9515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5685" name="Check Box 85" hidden="1">
                <a:extLst>
                  <a:ext uri="{63B3BB69-23CF-44E3-9099-C40C66FF867C}">
                    <a14:compatExt spid="_x0000_s25685"/>
                  </a:ext>
                </a:extLst>
              </xdr:cNvPr>
              <xdr:cNvSpPr/>
            </xdr:nvSpPr>
            <xdr:spPr bwMode="auto">
              <a:xfrm>
                <a:off x="5381625" y="10248901"/>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352425</xdr:colOff>
          <xdr:row>7</xdr:row>
          <xdr:rowOff>9525</xdr:rowOff>
        </xdr:from>
        <xdr:to>
          <xdr:col>3</xdr:col>
          <xdr:colOff>657225</xdr:colOff>
          <xdr:row>10</xdr:row>
          <xdr:rowOff>228600</xdr:rowOff>
        </xdr:to>
        <xdr:grpSp>
          <xdr:nvGrpSpPr>
            <xdr:cNvPr id="2" name="Group 1"/>
            <xdr:cNvGrpSpPr/>
          </xdr:nvGrpSpPr>
          <xdr:grpSpPr>
            <a:xfrm>
              <a:off x="6092825" y="2663824"/>
              <a:ext cx="304800" cy="1108071"/>
              <a:chOff x="5838825" y="2686051"/>
              <a:chExt cx="304800" cy="1114422"/>
            </a:xfrm>
          </xdr:grpSpPr>
          <xdr:sp macro="" textlink="">
            <xdr:nvSpPr>
              <xdr:cNvPr id="26625" name="Check Box 1" hidden="1">
                <a:extLst>
                  <a:ext uri="{63B3BB69-23CF-44E3-9099-C40C66FF867C}">
                    <a14:compatExt spid="_x0000_s26625"/>
                  </a:ext>
                </a:extLst>
              </xdr:cNvPr>
              <xdr:cNvSpPr/>
            </xdr:nvSpPr>
            <xdr:spPr bwMode="auto">
              <a:xfrm>
                <a:off x="5857875" y="2686051"/>
                <a:ext cx="2857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6" name="Check Box 2" hidden="1">
                <a:extLst>
                  <a:ext uri="{63B3BB69-23CF-44E3-9099-C40C66FF867C}">
                    <a14:compatExt spid="_x0000_s26626"/>
                  </a:ext>
                </a:extLst>
              </xdr:cNvPr>
              <xdr:cNvSpPr/>
            </xdr:nvSpPr>
            <xdr:spPr bwMode="auto">
              <a:xfrm>
                <a:off x="5838825" y="29813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7" name="Check Box 3" hidden="1">
                <a:extLst>
                  <a:ext uri="{63B3BB69-23CF-44E3-9099-C40C66FF867C}">
                    <a14:compatExt spid="_x0000_s26627"/>
                  </a:ext>
                </a:extLst>
              </xdr:cNvPr>
              <xdr:cNvSpPr/>
            </xdr:nvSpPr>
            <xdr:spPr bwMode="auto">
              <a:xfrm>
                <a:off x="5838825" y="3286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6628" name="Check Box 4" hidden="1">
                <a:extLst>
                  <a:ext uri="{63B3BB69-23CF-44E3-9099-C40C66FF867C}">
                    <a14:compatExt spid="_x0000_s26628"/>
                  </a:ext>
                </a:extLst>
              </xdr:cNvPr>
              <xdr:cNvSpPr/>
            </xdr:nvSpPr>
            <xdr:spPr bwMode="auto">
              <a:xfrm>
                <a:off x="5838825" y="3581398"/>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409575</xdr:colOff>
          <xdr:row>7</xdr:row>
          <xdr:rowOff>0</xdr:rowOff>
        </xdr:from>
        <xdr:to>
          <xdr:col>2</xdr:col>
          <xdr:colOff>714375</xdr:colOff>
          <xdr:row>29</xdr:row>
          <xdr:rowOff>228600</xdr:rowOff>
        </xdr:to>
        <xdr:grpSp>
          <xdr:nvGrpSpPr>
            <xdr:cNvPr id="2" name="Group 1"/>
            <xdr:cNvGrpSpPr/>
          </xdr:nvGrpSpPr>
          <xdr:grpSpPr>
            <a:xfrm>
              <a:off x="5578475" y="2095500"/>
              <a:ext cx="304800" cy="10039350"/>
              <a:chOff x="5343525" y="2114550"/>
              <a:chExt cx="304800" cy="10039350"/>
            </a:xfrm>
          </xdr:grpSpPr>
          <xdr:sp macro="" textlink="">
            <xdr:nvSpPr>
              <xdr:cNvPr id="18433" name="Check Box 1" hidden="1">
                <a:extLst>
                  <a:ext uri="{63B3BB69-23CF-44E3-9099-C40C66FF867C}">
                    <a14:compatExt spid="_x0000_s18433"/>
                  </a:ext>
                </a:extLst>
              </xdr:cNvPr>
              <xdr:cNvSpPr/>
            </xdr:nvSpPr>
            <xdr:spPr bwMode="auto">
              <a:xfrm>
                <a:off x="5343525" y="2114550"/>
                <a:ext cx="304800"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38" name="Check Box 6" hidden="1">
                <a:extLst>
                  <a:ext uri="{63B3BB69-23CF-44E3-9099-C40C66FF867C}">
                    <a14:compatExt spid="_x0000_s18438"/>
                  </a:ext>
                </a:extLst>
              </xdr:cNvPr>
              <xdr:cNvSpPr/>
            </xdr:nvSpPr>
            <xdr:spPr bwMode="auto">
              <a:xfrm>
                <a:off x="5343525" y="25812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1" name="Check Box 49" hidden="1">
                <a:extLst>
                  <a:ext uri="{63B3BB69-23CF-44E3-9099-C40C66FF867C}">
                    <a14:compatExt spid="_x0000_s18481"/>
                  </a:ext>
                </a:extLst>
              </xdr:cNvPr>
              <xdr:cNvSpPr/>
            </xdr:nvSpPr>
            <xdr:spPr bwMode="auto">
              <a:xfrm>
                <a:off x="5343525" y="30384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2" name="Check Box 50" hidden="1">
                <a:extLst>
                  <a:ext uri="{63B3BB69-23CF-44E3-9099-C40C66FF867C}">
                    <a14:compatExt spid="_x0000_s18482"/>
                  </a:ext>
                </a:extLst>
              </xdr:cNvPr>
              <xdr:cNvSpPr/>
            </xdr:nvSpPr>
            <xdr:spPr bwMode="auto">
              <a:xfrm>
                <a:off x="5343525" y="34956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3" name="Check Box 51" hidden="1">
                <a:extLst>
                  <a:ext uri="{63B3BB69-23CF-44E3-9099-C40C66FF867C}">
                    <a14:compatExt spid="_x0000_s18483"/>
                  </a:ext>
                </a:extLst>
              </xdr:cNvPr>
              <xdr:cNvSpPr/>
            </xdr:nvSpPr>
            <xdr:spPr bwMode="auto">
              <a:xfrm>
                <a:off x="5343525" y="42767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4" name="Check Box 52" hidden="1">
                <a:extLst>
                  <a:ext uri="{63B3BB69-23CF-44E3-9099-C40C66FF867C}">
                    <a14:compatExt spid="_x0000_s18484"/>
                  </a:ext>
                </a:extLst>
              </xdr:cNvPr>
              <xdr:cNvSpPr/>
            </xdr:nvSpPr>
            <xdr:spPr bwMode="auto">
              <a:xfrm>
                <a:off x="5343525" y="47339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5" name="Check Box 53" hidden="1">
                <a:extLst>
                  <a:ext uri="{63B3BB69-23CF-44E3-9099-C40C66FF867C}">
                    <a14:compatExt spid="_x0000_s18485"/>
                  </a:ext>
                </a:extLst>
              </xdr:cNvPr>
              <xdr:cNvSpPr/>
            </xdr:nvSpPr>
            <xdr:spPr bwMode="auto">
              <a:xfrm>
                <a:off x="5343525" y="5191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7" name="Check Box 55" hidden="1">
                <a:extLst>
                  <a:ext uri="{63B3BB69-23CF-44E3-9099-C40C66FF867C}">
                    <a14:compatExt spid="_x0000_s18487"/>
                  </a:ext>
                </a:extLst>
              </xdr:cNvPr>
              <xdr:cNvSpPr/>
            </xdr:nvSpPr>
            <xdr:spPr bwMode="auto">
              <a:xfrm>
                <a:off x="5343525" y="59912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8" name="Check Box 56" hidden="1">
                <a:extLst>
                  <a:ext uri="{63B3BB69-23CF-44E3-9099-C40C66FF867C}">
                    <a14:compatExt spid="_x0000_s18488"/>
                  </a:ext>
                </a:extLst>
              </xdr:cNvPr>
              <xdr:cNvSpPr/>
            </xdr:nvSpPr>
            <xdr:spPr bwMode="auto">
              <a:xfrm>
                <a:off x="5343525" y="64484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89" name="Check Box 57" hidden="1">
                <a:extLst>
                  <a:ext uri="{63B3BB69-23CF-44E3-9099-C40C66FF867C}">
                    <a14:compatExt spid="_x0000_s18489"/>
                  </a:ext>
                </a:extLst>
              </xdr:cNvPr>
              <xdr:cNvSpPr/>
            </xdr:nvSpPr>
            <xdr:spPr bwMode="auto">
              <a:xfrm>
                <a:off x="5343525" y="6905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1" name="Check Box 59" hidden="1">
                <a:extLst>
                  <a:ext uri="{63B3BB69-23CF-44E3-9099-C40C66FF867C}">
                    <a14:compatExt spid="_x0000_s18491"/>
                  </a:ext>
                </a:extLst>
              </xdr:cNvPr>
              <xdr:cNvSpPr/>
            </xdr:nvSpPr>
            <xdr:spPr bwMode="auto">
              <a:xfrm>
                <a:off x="5343525" y="7648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2" name="Check Box 60" hidden="1">
                <a:extLst>
                  <a:ext uri="{63B3BB69-23CF-44E3-9099-C40C66FF867C}">
                    <a14:compatExt spid="_x0000_s18492"/>
                  </a:ext>
                </a:extLst>
              </xdr:cNvPr>
              <xdr:cNvSpPr/>
            </xdr:nvSpPr>
            <xdr:spPr bwMode="auto">
              <a:xfrm>
                <a:off x="5343525" y="8105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3" name="Check Box 61" hidden="1">
                <a:extLst>
                  <a:ext uri="{63B3BB69-23CF-44E3-9099-C40C66FF867C}">
                    <a14:compatExt spid="_x0000_s18493"/>
                  </a:ext>
                </a:extLst>
              </xdr:cNvPr>
              <xdr:cNvSpPr/>
            </xdr:nvSpPr>
            <xdr:spPr bwMode="auto">
              <a:xfrm>
                <a:off x="5343525" y="8562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4" name="Check Box 62" hidden="1">
                <a:extLst>
                  <a:ext uri="{63B3BB69-23CF-44E3-9099-C40C66FF867C}">
                    <a14:compatExt spid="_x0000_s18494"/>
                  </a:ext>
                </a:extLst>
              </xdr:cNvPr>
              <xdr:cNvSpPr/>
            </xdr:nvSpPr>
            <xdr:spPr bwMode="auto">
              <a:xfrm>
                <a:off x="5343525" y="90201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5" name="Check Box 63" hidden="1">
                <a:extLst>
                  <a:ext uri="{63B3BB69-23CF-44E3-9099-C40C66FF867C}">
                    <a14:compatExt spid="_x0000_s18495"/>
                  </a:ext>
                </a:extLst>
              </xdr:cNvPr>
              <xdr:cNvSpPr/>
            </xdr:nvSpPr>
            <xdr:spPr bwMode="auto">
              <a:xfrm>
                <a:off x="5343525" y="94773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6" name="Check Box 64" hidden="1">
                <a:extLst>
                  <a:ext uri="{63B3BB69-23CF-44E3-9099-C40C66FF867C}">
                    <a14:compatExt spid="_x0000_s18496"/>
                  </a:ext>
                </a:extLst>
              </xdr:cNvPr>
              <xdr:cNvSpPr/>
            </xdr:nvSpPr>
            <xdr:spPr bwMode="auto">
              <a:xfrm>
                <a:off x="5343525" y="99345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7" name="Check Box 65" hidden="1">
                <a:extLst>
                  <a:ext uri="{63B3BB69-23CF-44E3-9099-C40C66FF867C}">
                    <a14:compatExt spid="_x0000_s18497"/>
                  </a:ext>
                </a:extLst>
              </xdr:cNvPr>
              <xdr:cNvSpPr/>
            </xdr:nvSpPr>
            <xdr:spPr bwMode="auto">
              <a:xfrm>
                <a:off x="5343525" y="103917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8" name="Check Box 66" hidden="1">
                <a:extLst>
                  <a:ext uri="{63B3BB69-23CF-44E3-9099-C40C66FF867C}">
                    <a14:compatExt spid="_x0000_s18498"/>
                  </a:ext>
                </a:extLst>
              </xdr:cNvPr>
              <xdr:cNvSpPr/>
            </xdr:nvSpPr>
            <xdr:spPr bwMode="auto">
              <a:xfrm>
                <a:off x="5343525" y="10848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499" name="Check Box 67" hidden="1">
                <a:extLst>
                  <a:ext uri="{63B3BB69-23CF-44E3-9099-C40C66FF867C}">
                    <a14:compatExt spid="_x0000_s18499"/>
                  </a:ext>
                </a:extLst>
              </xdr:cNvPr>
              <xdr:cNvSpPr/>
            </xdr:nvSpPr>
            <xdr:spPr bwMode="auto">
              <a:xfrm>
                <a:off x="5343525" y="114776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00" name="Check Box 68" hidden="1">
                <a:extLst>
                  <a:ext uri="{63B3BB69-23CF-44E3-9099-C40C66FF867C}">
                    <a14:compatExt spid="_x0000_s18500"/>
                  </a:ext>
                </a:extLst>
              </xdr:cNvPr>
              <xdr:cNvSpPr/>
            </xdr:nvSpPr>
            <xdr:spPr bwMode="auto">
              <a:xfrm>
                <a:off x="5343525" y="119348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35880" name="Check Box 40" hidden="1">
              <a:extLst>
                <a:ext uri="{63B3BB69-23CF-44E3-9099-C40C66FF867C}">
                  <a14:compatExt spid="_x0000_s3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35912" name="Check Box 72" hidden="1">
              <a:extLst>
                <a:ext uri="{63B3BB69-23CF-44E3-9099-C40C66FF867C}">
                  <a14:compatExt spid="_x0000_s35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35913" name="Check Box 73" hidden="1">
              <a:extLst>
                <a:ext uri="{63B3BB69-23CF-44E3-9099-C40C66FF867C}">
                  <a14:compatExt spid="_x0000_s35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35919" name="Check Box 79" hidden="1">
              <a:extLst>
                <a:ext uri="{63B3BB69-23CF-44E3-9099-C40C66FF867C}">
                  <a14:compatExt spid="_x0000_s3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35920" name="Check Box 80" hidden="1">
              <a:extLst>
                <a:ext uri="{63B3BB69-23CF-44E3-9099-C40C66FF867C}">
                  <a14:compatExt spid="_x0000_s3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35921" name="Check Box 81" hidden="1">
              <a:extLst>
                <a:ext uri="{63B3BB69-23CF-44E3-9099-C40C66FF867C}">
                  <a14:compatExt spid="_x0000_s3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35922" name="Check Box 82" hidden="1">
              <a:extLst>
                <a:ext uri="{63B3BB69-23CF-44E3-9099-C40C66FF867C}">
                  <a14:compatExt spid="_x0000_s3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35923" name="Check Box 83" hidden="1">
              <a:extLst>
                <a:ext uri="{63B3BB69-23CF-44E3-9099-C40C66FF867C}">
                  <a14:compatExt spid="_x0000_s3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35924" name="Check Box 84" hidden="1">
              <a:extLst>
                <a:ext uri="{63B3BB69-23CF-44E3-9099-C40C66FF867C}">
                  <a14:compatExt spid="_x0000_s3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35925" name="Check Box 85" hidden="1">
              <a:extLst>
                <a:ext uri="{63B3BB69-23CF-44E3-9099-C40C66FF867C}">
                  <a14:compatExt spid="_x0000_s35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12700</xdr:rowOff>
        </xdr:to>
        <xdr:sp macro="" textlink="">
          <xdr:nvSpPr>
            <xdr:cNvPr id="35926" name="Check Box 86" hidden="1">
              <a:extLst>
                <a:ext uri="{63B3BB69-23CF-44E3-9099-C40C66FF867C}">
                  <a14:compatExt spid="_x0000_s3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60</xdr:row>
          <xdr:rowOff>0</xdr:rowOff>
        </xdr:from>
        <xdr:to>
          <xdr:col>3</xdr:col>
          <xdr:colOff>609600</xdr:colOff>
          <xdr:row>61</xdr:row>
          <xdr:rowOff>12700</xdr:rowOff>
        </xdr:to>
        <xdr:sp macro="" textlink="">
          <xdr:nvSpPr>
            <xdr:cNvPr id="35927" name="Check Box 87" hidden="1">
              <a:extLst>
                <a:ext uri="{63B3BB69-23CF-44E3-9099-C40C66FF867C}">
                  <a14:compatExt spid="_x0000_s3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61</xdr:row>
          <xdr:rowOff>0</xdr:rowOff>
        </xdr:from>
        <xdr:to>
          <xdr:col>3</xdr:col>
          <xdr:colOff>609600</xdr:colOff>
          <xdr:row>62</xdr:row>
          <xdr:rowOff>12700</xdr:rowOff>
        </xdr:to>
        <xdr:sp macro="" textlink="">
          <xdr:nvSpPr>
            <xdr:cNvPr id="35928" name="Check Box 88" hidden="1">
              <a:extLst>
                <a:ext uri="{63B3BB69-23CF-44E3-9099-C40C66FF867C}">
                  <a14:compatExt spid="_x0000_s3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62</xdr:row>
          <xdr:rowOff>0</xdr:rowOff>
        </xdr:from>
        <xdr:to>
          <xdr:col>3</xdr:col>
          <xdr:colOff>609600</xdr:colOff>
          <xdr:row>63</xdr:row>
          <xdr:rowOff>12700</xdr:rowOff>
        </xdr:to>
        <xdr:sp macro="" textlink="">
          <xdr:nvSpPr>
            <xdr:cNvPr id="35929" name="Check Box 89" hidden="1">
              <a:extLst>
                <a:ext uri="{63B3BB69-23CF-44E3-9099-C40C66FF867C}">
                  <a14:compatExt spid="_x0000_s3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63</xdr:row>
          <xdr:rowOff>0</xdr:rowOff>
        </xdr:from>
        <xdr:to>
          <xdr:col>3</xdr:col>
          <xdr:colOff>609600</xdr:colOff>
          <xdr:row>63</xdr:row>
          <xdr:rowOff>209550</xdr:rowOff>
        </xdr:to>
        <xdr:sp macro="" textlink="">
          <xdr:nvSpPr>
            <xdr:cNvPr id="35930" name="Check Box 90" hidden="1">
              <a:extLst>
                <a:ext uri="{63B3BB69-23CF-44E3-9099-C40C66FF867C}">
                  <a14:compatExt spid="_x0000_s3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64</xdr:row>
          <xdr:rowOff>0</xdr:rowOff>
        </xdr:from>
        <xdr:to>
          <xdr:col>3</xdr:col>
          <xdr:colOff>609600</xdr:colOff>
          <xdr:row>64</xdr:row>
          <xdr:rowOff>209550</xdr:rowOff>
        </xdr:to>
        <xdr:sp macro="" textlink="">
          <xdr:nvSpPr>
            <xdr:cNvPr id="35931" name="Check Box 91" hidden="1">
              <a:extLst>
                <a:ext uri="{63B3BB69-23CF-44E3-9099-C40C66FF867C}">
                  <a14:compatExt spid="_x0000_s3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42</xdr:row>
          <xdr:rowOff>69850</xdr:rowOff>
        </xdr:from>
        <xdr:to>
          <xdr:col>3</xdr:col>
          <xdr:colOff>666750</xdr:colOff>
          <xdr:row>42</xdr:row>
          <xdr:rowOff>279400</xdr:rowOff>
        </xdr:to>
        <xdr:sp macro="" textlink="">
          <xdr:nvSpPr>
            <xdr:cNvPr id="35937" name="Check Box 97" hidden="1">
              <a:extLst>
                <a:ext uri="{63B3BB69-23CF-44E3-9099-C40C66FF867C}">
                  <a14:compatExt spid="_x0000_s3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7</xdr:row>
          <xdr:rowOff>0</xdr:rowOff>
        </xdr:from>
        <xdr:to>
          <xdr:col>3</xdr:col>
          <xdr:colOff>609600</xdr:colOff>
          <xdr:row>19</xdr:row>
          <xdr:rowOff>209550</xdr:rowOff>
        </xdr:to>
        <xdr:grpSp>
          <xdr:nvGrpSpPr>
            <xdr:cNvPr id="2" name="Group 1"/>
            <xdr:cNvGrpSpPr/>
          </xdr:nvGrpSpPr>
          <xdr:grpSpPr>
            <a:xfrm>
              <a:off x="5543550" y="3556000"/>
              <a:ext cx="190500" cy="2571750"/>
              <a:chOff x="5314950" y="3571875"/>
              <a:chExt cx="190500" cy="2609850"/>
            </a:xfrm>
          </xdr:grpSpPr>
          <xdr:sp macro="" textlink="">
            <xdr:nvSpPr>
              <xdr:cNvPr id="35866" name="Check Box 26" hidden="1">
                <a:extLst>
                  <a:ext uri="{63B3BB69-23CF-44E3-9099-C40C66FF867C}">
                    <a14:compatExt spid="_x0000_s35866"/>
                  </a:ext>
                </a:extLst>
              </xdr:cNvPr>
              <xdr:cNvSpPr/>
            </xdr:nvSpPr>
            <xdr:spPr bwMode="auto">
              <a:xfrm>
                <a:off x="5314950" y="3571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67" name="Check Box 27" hidden="1">
                <a:extLst>
                  <a:ext uri="{63B3BB69-23CF-44E3-9099-C40C66FF867C}">
                    <a14:compatExt spid="_x0000_s35867"/>
                  </a:ext>
                </a:extLst>
              </xdr:cNvPr>
              <xdr:cNvSpPr/>
            </xdr:nvSpPr>
            <xdr:spPr bwMode="auto">
              <a:xfrm>
                <a:off x="5314950" y="37719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3" name="Check Box 33" hidden="1">
                <a:extLst>
                  <a:ext uri="{63B3BB69-23CF-44E3-9099-C40C66FF867C}">
                    <a14:compatExt spid="_x0000_s35873"/>
                  </a:ext>
                </a:extLst>
              </xdr:cNvPr>
              <xdr:cNvSpPr/>
            </xdr:nvSpPr>
            <xdr:spPr bwMode="auto">
              <a:xfrm>
                <a:off x="5314950" y="43719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4" name="Check Box 34" hidden="1">
                <a:extLst>
                  <a:ext uri="{63B3BB69-23CF-44E3-9099-C40C66FF867C}">
                    <a14:compatExt spid="_x0000_s35874"/>
                  </a:ext>
                </a:extLst>
              </xdr:cNvPr>
              <xdr:cNvSpPr/>
            </xdr:nvSpPr>
            <xdr:spPr bwMode="auto">
              <a:xfrm>
                <a:off x="5314950" y="45720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5" name="Check Box 35" hidden="1">
                <a:extLst>
                  <a:ext uri="{63B3BB69-23CF-44E3-9099-C40C66FF867C}">
                    <a14:compatExt spid="_x0000_s35875"/>
                  </a:ext>
                </a:extLst>
              </xdr:cNvPr>
              <xdr:cNvSpPr/>
            </xdr:nvSpPr>
            <xdr:spPr bwMode="auto">
              <a:xfrm>
                <a:off x="5314950" y="4772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6" name="Check Box 36" hidden="1">
                <a:extLst>
                  <a:ext uri="{63B3BB69-23CF-44E3-9099-C40C66FF867C}">
                    <a14:compatExt spid="_x0000_s35876"/>
                  </a:ext>
                </a:extLst>
              </xdr:cNvPr>
              <xdr:cNvSpPr/>
            </xdr:nvSpPr>
            <xdr:spPr bwMode="auto">
              <a:xfrm>
                <a:off x="5314950" y="49720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7" name="Check Box 37" hidden="1">
                <a:extLst>
                  <a:ext uri="{63B3BB69-23CF-44E3-9099-C40C66FF867C}">
                    <a14:compatExt spid="_x0000_s35877"/>
                  </a:ext>
                </a:extLst>
              </xdr:cNvPr>
              <xdr:cNvSpPr/>
            </xdr:nvSpPr>
            <xdr:spPr bwMode="auto">
              <a:xfrm>
                <a:off x="5314950" y="51720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8" name="Check Box 38" hidden="1">
                <a:extLst>
                  <a:ext uri="{63B3BB69-23CF-44E3-9099-C40C66FF867C}">
                    <a14:compatExt spid="_x0000_s35878"/>
                  </a:ext>
                </a:extLst>
              </xdr:cNvPr>
              <xdr:cNvSpPr/>
            </xdr:nvSpPr>
            <xdr:spPr bwMode="auto">
              <a:xfrm>
                <a:off x="5314950" y="53721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79" name="Check Box 39" hidden="1">
                <a:extLst>
                  <a:ext uri="{63B3BB69-23CF-44E3-9099-C40C66FF867C}">
                    <a14:compatExt spid="_x0000_s35879"/>
                  </a:ext>
                </a:extLst>
              </xdr:cNvPr>
              <xdr:cNvSpPr/>
            </xdr:nvSpPr>
            <xdr:spPr bwMode="auto">
              <a:xfrm>
                <a:off x="5314950" y="55721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1" name="Check Box 41" hidden="1">
                <a:extLst>
                  <a:ext uri="{63B3BB69-23CF-44E3-9099-C40C66FF867C}">
                    <a14:compatExt spid="_x0000_s35881"/>
                  </a:ext>
                </a:extLst>
              </xdr:cNvPr>
              <xdr:cNvSpPr/>
            </xdr:nvSpPr>
            <xdr:spPr bwMode="auto">
              <a:xfrm>
                <a:off x="5314950" y="59721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8" name="Check Box 98" hidden="1">
                <a:extLst>
                  <a:ext uri="{63B3BB69-23CF-44E3-9099-C40C66FF867C}">
                    <a14:compatExt spid="_x0000_s35938"/>
                  </a:ext>
                </a:extLst>
              </xdr:cNvPr>
              <xdr:cNvSpPr/>
            </xdr:nvSpPr>
            <xdr:spPr bwMode="auto">
              <a:xfrm>
                <a:off x="5314950" y="39719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39" name="Check Box 99" hidden="1">
                <a:extLst>
                  <a:ext uri="{63B3BB69-23CF-44E3-9099-C40C66FF867C}">
                    <a14:compatExt spid="_x0000_s35939"/>
                  </a:ext>
                </a:extLst>
              </xdr:cNvPr>
              <xdr:cNvSpPr/>
            </xdr:nvSpPr>
            <xdr:spPr bwMode="auto">
              <a:xfrm>
                <a:off x="5314950" y="41719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419100</xdr:colOff>
          <xdr:row>26</xdr:row>
          <xdr:rowOff>0</xdr:rowOff>
        </xdr:from>
        <xdr:to>
          <xdr:col>3</xdr:col>
          <xdr:colOff>714375</xdr:colOff>
          <xdr:row>41</xdr:row>
          <xdr:rowOff>323850</xdr:rowOff>
        </xdr:to>
        <xdr:grpSp>
          <xdr:nvGrpSpPr>
            <xdr:cNvPr id="5" name="Group 4"/>
            <xdr:cNvGrpSpPr/>
          </xdr:nvGrpSpPr>
          <xdr:grpSpPr>
            <a:xfrm>
              <a:off x="5543550" y="9740895"/>
              <a:ext cx="295275" cy="3327403"/>
              <a:chOff x="5314950" y="12144374"/>
              <a:chExt cx="295275" cy="3371854"/>
            </a:xfrm>
          </xdr:grpSpPr>
          <xdr:sp macro="" textlink="">
            <xdr:nvSpPr>
              <xdr:cNvPr id="35905" name="Check Box 65" hidden="1">
                <a:extLst>
                  <a:ext uri="{63B3BB69-23CF-44E3-9099-C40C66FF867C}">
                    <a14:compatExt spid="_x0000_s35905"/>
                  </a:ext>
                </a:extLst>
              </xdr:cNvPr>
              <xdr:cNvSpPr/>
            </xdr:nvSpPr>
            <xdr:spPr bwMode="auto">
              <a:xfrm>
                <a:off x="5353050" y="15316203"/>
                <a:ext cx="257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7" name="Check Box 47" hidden="1">
                <a:extLst>
                  <a:ext uri="{63B3BB69-23CF-44E3-9099-C40C66FF867C}">
                    <a14:compatExt spid="_x0000_s35887"/>
                  </a:ext>
                </a:extLst>
              </xdr:cNvPr>
              <xdr:cNvSpPr/>
            </xdr:nvSpPr>
            <xdr:spPr bwMode="auto">
              <a:xfrm>
                <a:off x="5314950" y="12144374"/>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88" name="Check Box 48" hidden="1">
                <a:extLst>
                  <a:ext uri="{63B3BB69-23CF-44E3-9099-C40C66FF867C}">
                    <a14:compatExt spid="_x0000_s35888"/>
                  </a:ext>
                </a:extLst>
              </xdr:cNvPr>
              <xdr:cNvSpPr/>
            </xdr:nvSpPr>
            <xdr:spPr bwMode="auto">
              <a:xfrm>
                <a:off x="5314950" y="123444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4" name="Check Box 54" hidden="1">
                <a:extLst>
                  <a:ext uri="{63B3BB69-23CF-44E3-9099-C40C66FF867C}">
                    <a14:compatExt spid="_x0000_s35894"/>
                  </a:ext>
                </a:extLst>
              </xdr:cNvPr>
              <xdr:cNvSpPr/>
            </xdr:nvSpPr>
            <xdr:spPr bwMode="auto">
              <a:xfrm>
                <a:off x="5314950" y="129444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5" name="Check Box 55" hidden="1">
                <a:extLst>
                  <a:ext uri="{63B3BB69-23CF-44E3-9099-C40C66FF867C}">
                    <a14:compatExt spid="_x0000_s35895"/>
                  </a:ext>
                </a:extLst>
              </xdr:cNvPr>
              <xdr:cNvSpPr/>
            </xdr:nvSpPr>
            <xdr:spPr bwMode="auto">
              <a:xfrm>
                <a:off x="5314950" y="131445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6" name="Check Box 56" hidden="1">
                <a:extLst>
                  <a:ext uri="{63B3BB69-23CF-44E3-9099-C40C66FF867C}">
                    <a14:compatExt spid="_x0000_s35896"/>
                  </a:ext>
                </a:extLst>
              </xdr:cNvPr>
              <xdr:cNvSpPr/>
            </xdr:nvSpPr>
            <xdr:spPr bwMode="auto">
              <a:xfrm>
                <a:off x="5314950" y="133445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7" name="Check Box 57" hidden="1">
                <a:extLst>
                  <a:ext uri="{63B3BB69-23CF-44E3-9099-C40C66FF867C}">
                    <a14:compatExt spid="_x0000_s35897"/>
                  </a:ext>
                </a:extLst>
              </xdr:cNvPr>
              <xdr:cNvSpPr/>
            </xdr:nvSpPr>
            <xdr:spPr bwMode="auto">
              <a:xfrm>
                <a:off x="5314950" y="135445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8" name="Check Box 58" hidden="1">
                <a:extLst>
                  <a:ext uri="{63B3BB69-23CF-44E3-9099-C40C66FF867C}">
                    <a14:compatExt spid="_x0000_s35898"/>
                  </a:ext>
                </a:extLst>
              </xdr:cNvPr>
              <xdr:cNvSpPr/>
            </xdr:nvSpPr>
            <xdr:spPr bwMode="auto">
              <a:xfrm>
                <a:off x="5314950" y="137445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899" name="Check Box 59" hidden="1">
                <a:extLst>
                  <a:ext uri="{63B3BB69-23CF-44E3-9099-C40C66FF867C}">
                    <a14:compatExt spid="_x0000_s35899"/>
                  </a:ext>
                </a:extLst>
              </xdr:cNvPr>
              <xdr:cNvSpPr/>
            </xdr:nvSpPr>
            <xdr:spPr bwMode="auto">
              <a:xfrm>
                <a:off x="5314950" y="139446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0" name="Check Box 60" hidden="1">
                <a:extLst>
                  <a:ext uri="{63B3BB69-23CF-44E3-9099-C40C66FF867C}">
                    <a14:compatExt spid="_x0000_s35900"/>
                  </a:ext>
                </a:extLst>
              </xdr:cNvPr>
              <xdr:cNvSpPr/>
            </xdr:nvSpPr>
            <xdr:spPr bwMode="auto">
              <a:xfrm>
                <a:off x="5314950" y="141446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1" name="Check Box 61" hidden="1">
                <a:extLst>
                  <a:ext uri="{63B3BB69-23CF-44E3-9099-C40C66FF867C}">
                    <a14:compatExt spid="_x0000_s35901"/>
                  </a:ext>
                </a:extLst>
              </xdr:cNvPr>
              <xdr:cNvSpPr/>
            </xdr:nvSpPr>
            <xdr:spPr bwMode="auto">
              <a:xfrm>
                <a:off x="5314950" y="143446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2" name="Check Box 62" hidden="1">
                <a:extLst>
                  <a:ext uri="{63B3BB69-23CF-44E3-9099-C40C66FF867C}">
                    <a14:compatExt spid="_x0000_s35902"/>
                  </a:ext>
                </a:extLst>
              </xdr:cNvPr>
              <xdr:cNvSpPr/>
            </xdr:nvSpPr>
            <xdr:spPr bwMode="auto">
              <a:xfrm>
                <a:off x="5314950" y="145446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3" name="Check Box 63" hidden="1">
                <a:extLst>
                  <a:ext uri="{63B3BB69-23CF-44E3-9099-C40C66FF867C}">
                    <a14:compatExt spid="_x0000_s35903"/>
                  </a:ext>
                </a:extLst>
              </xdr:cNvPr>
              <xdr:cNvSpPr/>
            </xdr:nvSpPr>
            <xdr:spPr bwMode="auto">
              <a:xfrm>
                <a:off x="5314950" y="1474470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04" name="Check Box 64" hidden="1">
                <a:extLst>
                  <a:ext uri="{63B3BB69-23CF-44E3-9099-C40C66FF867C}">
                    <a14:compatExt spid="_x0000_s35904"/>
                  </a:ext>
                </a:extLst>
              </xdr:cNvPr>
              <xdr:cNvSpPr/>
            </xdr:nvSpPr>
            <xdr:spPr bwMode="auto">
              <a:xfrm>
                <a:off x="5314950" y="149447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0" name="Check Box 100" hidden="1">
                <a:extLst>
                  <a:ext uri="{63B3BB69-23CF-44E3-9099-C40C66FF867C}">
                    <a14:compatExt spid="_x0000_s35940"/>
                  </a:ext>
                </a:extLst>
              </xdr:cNvPr>
              <xdr:cNvSpPr/>
            </xdr:nvSpPr>
            <xdr:spPr bwMode="auto">
              <a:xfrm>
                <a:off x="5314950" y="125444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941" name="Check Box 101" hidden="1">
                <a:extLst>
                  <a:ext uri="{63B3BB69-23CF-44E3-9099-C40C66FF867C}">
                    <a14:compatExt spid="_x0000_s35941"/>
                  </a:ext>
                </a:extLst>
              </xdr:cNvPr>
              <xdr:cNvSpPr/>
            </xdr:nvSpPr>
            <xdr:spPr bwMode="auto">
              <a:xfrm>
                <a:off x="5314950" y="12744450"/>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35942" name="Check Box 102" hidden="1">
              <a:extLst>
                <a:ext uri="{63B3BB69-23CF-44E3-9099-C40C66FF867C}">
                  <a14:compatExt spid="_x0000_s35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35943" name="Check Box 103" hidden="1">
              <a:extLst>
                <a:ext uri="{63B3BB69-23CF-44E3-9099-C40C66FF867C}">
                  <a14:compatExt spid="_x0000_s3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20</xdr:row>
          <xdr:rowOff>69850</xdr:rowOff>
        </xdr:from>
        <xdr:to>
          <xdr:col>3</xdr:col>
          <xdr:colOff>704850</xdr:colOff>
          <xdr:row>20</xdr:row>
          <xdr:rowOff>285750</xdr:rowOff>
        </xdr:to>
        <xdr:sp macro="" textlink="">
          <xdr:nvSpPr>
            <xdr:cNvPr id="35944" name="Check Box 104" hidden="1">
              <a:extLst>
                <a:ext uri="{63B3BB69-23CF-44E3-9099-C40C66FF867C}">
                  <a14:compatExt spid="_x0000_s3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8</xdr:row>
          <xdr:rowOff>0</xdr:rowOff>
        </xdr:from>
        <xdr:to>
          <xdr:col>3</xdr:col>
          <xdr:colOff>609600</xdr:colOff>
          <xdr:row>9</xdr:row>
          <xdr:rowOff>12700</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9</xdr:row>
          <xdr:rowOff>0</xdr:rowOff>
        </xdr:from>
        <xdr:to>
          <xdr:col>3</xdr:col>
          <xdr:colOff>609600</xdr:colOff>
          <xdr:row>10</xdr:row>
          <xdr:rowOff>12700</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10</xdr:row>
          <xdr:rowOff>0</xdr:rowOff>
        </xdr:from>
        <xdr:to>
          <xdr:col>3</xdr:col>
          <xdr:colOff>609600</xdr:colOff>
          <xdr:row>11</xdr:row>
          <xdr:rowOff>12700</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11</xdr:row>
          <xdr:rowOff>0</xdr:rowOff>
        </xdr:from>
        <xdr:to>
          <xdr:col>3</xdr:col>
          <xdr:colOff>609600</xdr:colOff>
          <xdr:row>12</xdr:row>
          <xdr:rowOff>12700</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12</xdr:row>
          <xdr:rowOff>0</xdr:rowOff>
        </xdr:from>
        <xdr:to>
          <xdr:col>3</xdr:col>
          <xdr:colOff>609600</xdr:colOff>
          <xdr:row>13</xdr:row>
          <xdr:rowOff>12700</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609600</xdr:colOff>
          <xdr:row>14</xdr:row>
          <xdr:rowOff>12700</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14</xdr:row>
          <xdr:rowOff>0</xdr:rowOff>
        </xdr:from>
        <xdr:to>
          <xdr:col>3</xdr:col>
          <xdr:colOff>609600</xdr:colOff>
          <xdr:row>15</xdr:row>
          <xdr:rowOff>12700</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15</xdr:row>
          <xdr:rowOff>0</xdr:rowOff>
        </xdr:from>
        <xdr:to>
          <xdr:col>3</xdr:col>
          <xdr:colOff>609600</xdr:colOff>
          <xdr:row>16</xdr:row>
          <xdr:rowOff>12700</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16</xdr:row>
          <xdr:rowOff>0</xdr:rowOff>
        </xdr:from>
        <xdr:to>
          <xdr:col>3</xdr:col>
          <xdr:colOff>609600</xdr:colOff>
          <xdr:row>17</xdr:row>
          <xdr:rowOff>12700</xdr:rowOff>
        </xdr:to>
        <xdr:sp macro="" textlink="">
          <xdr:nvSpPr>
            <xdr:cNvPr id="54281" name="Check Box 9" hidden="1">
              <a:extLst>
                <a:ext uri="{63B3BB69-23CF-44E3-9099-C40C66FF867C}">
                  <a14:compatExt spid="_x0000_s5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17</xdr:row>
          <xdr:rowOff>0</xdr:rowOff>
        </xdr:from>
        <xdr:to>
          <xdr:col>3</xdr:col>
          <xdr:colOff>609600</xdr:colOff>
          <xdr:row>18</xdr:row>
          <xdr:rowOff>12700</xdr:rowOff>
        </xdr:to>
        <xdr:sp macro="" textlink="">
          <xdr:nvSpPr>
            <xdr:cNvPr id="54282" name="Check Box 10" hidden="1">
              <a:extLst>
                <a:ext uri="{63B3BB69-23CF-44E3-9099-C40C66FF867C}">
                  <a14:compatExt spid="_x0000_s5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18</xdr:row>
          <xdr:rowOff>0</xdr:rowOff>
        </xdr:from>
        <xdr:to>
          <xdr:col>3</xdr:col>
          <xdr:colOff>609600</xdr:colOff>
          <xdr:row>19</xdr:row>
          <xdr:rowOff>12700</xdr:rowOff>
        </xdr:to>
        <xdr:sp macro="" textlink="">
          <xdr:nvSpPr>
            <xdr:cNvPr id="54283" name="Check Box 11" hidden="1">
              <a:extLst>
                <a:ext uri="{63B3BB69-23CF-44E3-9099-C40C66FF867C}">
                  <a14:compatExt spid="_x0000_s5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19</xdr:row>
          <xdr:rowOff>0</xdr:rowOff>
        </xdr:from>
        <xdr:to>
          <xdr:col>3</xdr:col>
          <xdr:colOff>609600</xdr:colOff>
          <xdr:row>20</xdr:row>
          <xdr:rowOff>12700</xdr:rowOff>
        </xdr:to>
        <xdr:sp macro="" textlink="">
          <xdr:nvSpPr>
            <xdr:cNvPr id="54284" name="Check Box 12" hidden="1">
              <a:extLst>
                <a:ext uri="{63B3BB69-23CF-44E3-9099-C40C66FF867C}">
                  <a14:compatExt spid="_x0000_s5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25</xdr:row>
          <xdr:rowOff>0</xdr:rowOff>
        </xdr:from>
        <xdr:to>
          <xdr:col>3</xdr:col>
          <xdr:colOff>609600</xdr:colOff>
          <xdr:row>26</xdr:row>
          <xdr:rowOff>12700</xdr:rowOff>
        </xdr:to>
        <xdr:sp macro="" textlink="">
          <xdr:nvSpPr>
            <xdr:cNvPr id="54288" name="Check Box 16" hidden="1">
              <a:extLst>
                <a:ext uri="{63B3BB69-23CF-44E3-9099-C40C66FF867C}">
                  <a14:compatExt spid="_x0000_s5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26</xdr:row>
          <xdr:rowOff>0</xdr:rowOff>
        </xdr:from>
        <xdr:to>
          <xdr:col>3</xdr:col>
          <xdr:colOff>609600</xdr:colOff>
          <xdr:row>27</xdr:row>
          <xdr:rowOff>12700</xdr:rowOff>
        </xdr:to>
        <xdr:sp macro="" textlink="">
          <xdr:nvSpPr>
            <xdr:cNvPr id="54289" name="Check Box 17" hidden="1">
              <a:extLst>
                <a:ext uri="{63B3BB69-23CF-44E3-9099-C40C66FF867C}">
                  <a14:compatExt spid="_x0000_s5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27</xdr:row>
          <xdr:rowOff>0</xdr:rowOff>
        </xdr:from>
        <xdr:to>
          <xdr:col>3</xdr:col>
          <xdr:colOff>609600</xdr:colOff>
          <xdr:row>28</xdr:row>
          <xdr:rowOff>12700</xdr:rowOff>
        </xdr:to>
        <xdr:sp macro="" textlink="">
          <xdr:nvSpPr>
            <xdr:cNvPr id="54290" name="Check Box 18" hidden="1">
              <a:extLst>
                <a:ext uri="{63B3BB69-23CF-44E3-9099-C40C66FF867C}">
                  <a14:compatExt spid="_x0000_s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28</xdr:row>
          <xdr:rowOff>0</xdr:rowOff>
        </xdr:from>
        <xdr:to>
          <xdr:col>3</xdr:col>
          <xdr:colOff>609600</xdr:colOff>
          <xdr:row>29</xdr:row>
          <xdr:rowOff>12700</xdr:rowOff>
        </xdr:to>
        <xdr:sp macro="" textlink="">
          <xdr:nvSpPr>
            <xdr:cNvPr id="54291" name="Check Box 19" hidden="1">
              <a:extLst>
                <a:ext uri="{63B3BB69-23CF-44E3-9099-C40C66FF867C}">
                  <a14:compatExt spid="_x0000_s5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29</xdr:row>
          <xdr:rowOff>0</xdr:rowOff>
        </xdr:from>
        <xdr:to>
          <xdr:col>3</xdr:col>
          <xdr:colOff>609600</xdr:colOff>
          <xdr:row>30</xdr:row>
          <xdr:rowOff>12700</xdr:rowOff>
        </xdr:to>
        <xdr:sp macro="" textlink="">
          <xdr:nvSpPr>
            <xdr:cNvPr id="54292" name="Check Box 20" hidden="1">
              <a:extLst>
                <a:ext uri="{63B3BB69-23CF-44E3-9099-C40C66FF867C}">
                  <a14:compatExt spid="_x0000_s5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30</xdr:row>
          <xdr:rowOff>0</xdr:rowOff>
        </xdr:from>
        <xdr:to>
          <xdr:col>3</xdr:col>
          <xdr:colOff>609600</xdr:colOff>
          <xdr:row>31</xdr:row>
          <xdr:rowOff>12700</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31</xdr:row>
          <xdr:rowOff>0</xdr:rowOff>
        </xdr:from>
        <xdr:to>
          <xdr:col>3</xdr:col>
          <xdr:colOff>609600</xdr:colOff>
          <xdr:row>32</xdr:row>
          <xdr:rowOff>12700</xdr:rowOff>
        </xdr:to>
        <xdr:sp macro="" textlink="">
          <xdr:nvSpPr>
            <xdr:cNvPr id="54294" name="Check Box 22" hidden="1">
              <a:extLst>
                <a:ext uri="{63B3BB69-23CF-44E3-9099-C40C66FF867C}">
                  <a14:compatExt spid="_x0000_s5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32</xdr:row>
          <xdr:rowOff>0</xdr:rowOff>
        </xdr:from>
        <xdr:to>
          <xdr:col>3</xdr:col>
          <xdr:colOff>609600</xdr:colOff>
          <xdr:row>33</xdr:row>
          <xdr:rowOff>12700</xdr:rowOff>
        </xdr:to>
        <xdr:sp macro="" textlink="">
          <xdr:nvSpPr>
            <xdr:cNvPr id="54295" name="Check Box 23" hidden="1">
              <a:extLst>
                <a:ext uri="{63B3BB69-23CF-44E3-9099-C40C66FF867C}">
                  <a14:compatExt spid="_x0000_s5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33</xdr:row>
          <xdr:rowOff>0</xdr:rowOff>
        </xdr:from>
        <xdr:to>
          <xdr:col>3</xdr:col>
          <xdr:colOff>609600</xdr:colOff>
          <xdr:row>34</xdr:row>
          <xdr:rowOff>12700</xdr:rowOff>
        </xdr:to>
        <xdr:sp macro="" textlink="">
          <xdr:nvSpPr>
            <xdr:cNvPr id="54296" name="Check Box 24" hidden="1">
              <a:extLst>
                <a:ext uri="{63B3BB69-23CF-44E3-9099-C40C66FF867C}">
                  <a14:compatExt spid="_x0000_s5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34</xdr:row>
          <xdr:rowOff>0</xdr:rowOff>
        </xdr:from>
        <xdr:to>
          <xdr:col>3</xdr:col>
          <xdr:colOff>609600</xdr:colOff>
          <xdr:row>35</xdr:row>
          <xdr:rowOff>12700</xdr:rowOff>
        </xdr:to>
        <xdr:sp macro="" textlink="">
          <xdr:nvSpPr>
            <xdr:cNvPr id="54297" name="Check Box 25" hidden="1">
              <a:extLst>
                <a:ext uri="{63B3BB69-23CF-44E3-9099-C40C66FF867C}">
                  <a14:compatExt spid="_x0000_s5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35</xdr:row>
          <xdr:rowOff>0</xdr:rowOff>
        </xdr:from>
        <xdr:to>
          <xdr:col>3</xdr:col>
          <xdr:colOff>609600</xdr:colOff>
          <xdr:row>36</xdr:row>
          <xdr:rowOff>12700</xdr:rowOff>
        </xdr:to>
        <xdr:sp macro="" textlink="">
          <xdr:nvSpPr>
            <xdr:cNvPr id="54298" name="Check Box 26" hidden="1">
              <a:extLst>
                <a:ext uri="{63B3BB69-23CF-44E3-9099-C40C66FF867C}">
                  <a14:compatExt spid="_x0000_s5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0</xdr:rowOff>
        </xdr:from>
        <xdr:to>
          <xdr:col>3</xdr:col>
          <xdr:colOff>609600</xdr:colOff>
          <xdr:row>37</xdr:row>
          <xdr:rowOff>12700</xdr:rowOff>
        </xdr:to>
        <xdr:sp macro="" textlink="">
          <xdr:nvSpPr>
            <xdr:cNvPr id="54299" name="Check Box 27" hidden="1">
              <a:extLst>
                <a:ext uri="{63B3BB69-23CF-44E3-9099-C40C66FF867C}">
                  <a14:compatExt spid="_x0000_s5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37</xdr:row>
          <xdr:rowOff>0</xdr:rowOff>
        </xdr:from>
        <xdr:to>
          <xdr:col>3</xdr:col>
          <xdr:colOff>609600</xdr:colOff>
          <xdr:row>38</xdr:row>
          <xdr:rowOff>12700</xdr:rowOff>
        </xdr:to>
        <xdr:sp macro="" textlink="">
          <xdr:nvSpPr>
            <xdr:cNvPr id="54300" name="Check Box 28" hidden="1">
              <a:extLst>
                <a:ext uri="{63B3BB69-23CF-44E3-9099-C40C66FF867C}">
                  <a14:compatExt spid="_x0000_s5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38</xdr:row>
          <xdr:rowOff>0</xdr:rowOff>
        </xdr:from>
        <xdr:to>
          <xdr:col>3</xdr:col>
          <xdr:colOff>609600</xdr:colOff>
          <xdr:row>39</xdr:row>
          <xdr:rowOff>12700</xdr:rowOff>
        </xdr:to>
        <xdr:sp macro="" textlink="">
          <xdr:nvSpPr>
            <xdr:cNvPr id="54301" name="Check Box 29" hidden="1">
              <a:extLst>
                <a:ext uri="{63B3BB69-23CF-44E3-9099-C40C66FF867C}">
                  <a14:compatExt spid="_x0000_s5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39</xdr:row>
          <xdr:rowOff>0</xdr:rowOff>
        </xdr:from>
        <xdr:to>
          <xdr:col>3</xdr:col>
          <xdr:colOff>609600</xdr:colOff>
          <xdr:row>40</xdr:row>
          <xdr:rowOff>0</xdr:rowOff>
        </xdr:to>
        <xdr:sp macro="" textlink="">
          <xdr:nvSpPr>
            <xdr:cNvPr id="54302" name="Check Box 30" hidden="1">
              <a:extLst>
                <a:ext uri="{63B3BB69-23CF-44E3-9099-C40C66FF867C}">
                  <a14:compatExt spid="_x0000_s5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3" name="Check Box 31" hidden="1">
              <a:extLst>
                <a:ext uri="{63B3BB69-23CF-44E3-9099-C40C66FF867C}">
                  <a14:compatExt spid="_x0000_s5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4" name="Check Box 32" hidden="1">
              <a:extLst>
                <a:ext uri="{63B3BB69-23CF-44E3-9099-C40C66FF867C}">
                  <a14:compatExt spid="_x0000_s5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5" name="Check Box 33" hidden="1">
              <a:extLst>
                <a:ext uri="{63B3BB69-23CF-44E3-9099-C40C66FF867C}">
                  <a14:compatExt spid="_x0000_s5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6" name="Check Box 34" hidden="1">
              <a:extLst>
                <a:ext uri="{63B3BB69-23CF-44E3-9099-C40C66FF867C}">
                  <a14:compatExt spid="_x0000_s5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45</xdr:row>
          <xdr:rowOff>0</xdr:rowOff>
        </xdr:from>
        <xdr:to>
          <xdr:col>3</xdr:col>
          <xdr:colOff>609600</xdr:colOff>
          <xdr:row>46</xdr:row>
          <xdr:rowOff>12700</xdr:rowOff>
        </xdr:to>
        <xdr:sp macro="" textlink="">
          <xdr:nvSpPr>
            <xdr:cNvPr id="54307" name="Check Box 35" hidden="1">
              <a:extLst>
                <a:ext uri="{63B3BB69-23CF-44E3-9099-C40C66FF867C}">
                  <a14:compatExt spid="_x0000_s5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8" name="Check Box 36" hidden="1">
              <a:extLst>
                <a:ext uri="{63B3BB69-23CF-44E3-9099-C40C66FF867C}">
                  <a14:compatExt spid="_x0000_s5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09" name="Check Box 37" hidden="1">
              <a:extLst>
                <a:ext uri="{63B3BB69-23CF-44E3-9099-C40C66FF867C}">
                  <a14:compatExt spid="_x0000_s5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0" name="Check Box 38" hidden="1">
              <a:extLst>
                <a:ext uri="{63B3BB69-23CF-44E3-9099-C40C66FF867C}">
                  <a14:compatExt spid="_x0000_s5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1" name="Check Box 39" hidden="1">
              <a:extLst>
                <a:ext uri="{63B3BB69-23CF-44E3-9099-C40C66FF867C}">
                  <a14:compatExt spid="_x0000_s5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46</xdr:row>
          <xdr:rowOff>0</xdr:rowOff>
        </xdr:from>
        <xdr:to>
          <xdr:col>3</xdr:col>
          <xdr:colOff>609600</xdr:colOff>
          <xdr:row>47</xdr:row>
          <xdr:rowOff>12700</xdr:rowOff>
        </xdr:to>
        <xdr:sp macro="" textlink="">
          <xdr:nvSpPr>
            <xdr:cNvPr id="54312" name="Check Box 40" hidden="1">
              <a:extLst>
                <a:ext uri="{63B3BB69-23CF-44E3-9099-C40C66FF867C}">
                  <a14:compatExt spid="_x0000_s5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3" name="Check Box 41" hidden="1">
              <a:extLst>
                <a:ext uri="{63B3BB69-23CF-44E3-9099-C40C66FF867C}">
                  <a14:compatExt spid="_x0000_s5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4" name="Check Box 42" hidden="1">
              <a:extLst>
                <a:ext uri="{63B3BB69-23CF-44E3-9099-C40C66FF867C}">
                  <a14:compatExt spid="_x0000_s5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5" name="Check Box 43" hidden="1">
              <a:extLst>
                <a:ext uri="{63B3BB69-23CF-44E3-9099-C40C66FF867C}">
                  <a14:compatExt spid="_x0000_s5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6" name="Check Box 44" hidden="1">
              <a:extLst>
                <a:ext uri="{63B3BB69-23CF-44E3-9099-C40C66FF867C}">
                  <a14:compatExt spid="_x0000_s5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47</xdr:row>
          <xdr:rowOff>0</xdr:rowOff>
        </xdr:from>
        <xdr:to>
          <xdr:col>3</xdr:col>
          <xdr:colOff>609600</xdr:colOff>
          <xdr:row>48</xdr:row>
          <xdr:rowOff>12700</xdr:rowOff>
        </xdr:to>
        <xdr:sp macro="" textlink="">
          <xdr:nvSpPr>
            <xdr:cNvPr id="54317" name="Check Box 45" hidden="1">
              <a:extLst>
                <a:ext uri="{63B3BB69-23CF-44E3-9099-C40C66FF867C}">
                  <a14:compatExt spid="_x0000_s5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8" name="Check Box 46" hidden="1">
              <a:extLst>
                <a:ext uri="{63B3BB69-23CF-44E3-9099-C40C66FF867C}">
                  <a14:compatExt spid="_x0000_s5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19" name="Check Box 47" hidden="1">
              <a:extLst>
                <a:ext uri="{63B3BB69-23CF-44E3-9099-C40C66FF867C}">
                  <a14:compatExt spid="_x0000_s5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0" name="Check Box 48" hidden="1">
              <a:extLst>
                <a:ext uri="{63B3BB69-23CF-44E3-9099-C40C66FF867C}">
                  <a14:compatExt spid="_x0000_s5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1" name="Check Box 49" hidden="1">
              <a:extLst>
                <a:ext uri="{63B3BB69-23CF-44E3-9099-C40C66FF867C}">
                  <a14:compatExt spid="_x0000_s5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48</xdr:row>
          <xdr:rowOff>0</xdr:rowOff>
        </xdr:from>
        <xdr:to>
          <xdr:col>3</xdr:col>
          <xdr:colOff>609600</xdr:colOff>
          <xdr:row>49</xdr:row>
          <xdr:rowOff>12700</xdr:rowOff>
        </xdr:to>
        <xdr:sp macro="" textlink="">
          <xdr:nvSpPr>
            <xdr:cNvPr id="54322" name="Check Box 50" hidden="1">
              <a:extLst>
                <a:ext uri="{63B3BB69-23CF-44E3-9099-C40C66FF867C}">
                  <a14:compatExt spid="_x0000_s5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3" name="Check Box 51" hidden="1">
              <a:extLst>
                <a:ext uri="{63B3BB69-23CF-44E3-9099-C40C66FF867C}">
                  <a14:compatExt spid="_x0000_s5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4" name="Check Box 52" hidden="1">
              <a:extLst>
                <a:ext uri="{63B3BB69-23CF-44E3-9099-C40C66FF867C}">
                  <a14:compatExt spid="_x0000_s5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5" name="Check Box 53" hidden="1">
              <a:extLst>
                <a:ext uri="{63B3BB69-23CF-44E3-9099-C40C66FF867C}">
                  <a14:compatExt spid="_x0000_s5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6" name="Check Box 54" hidden="1">
              <a:extLst>
                <a:ext uri="{63B3BB69-23CF-44E3-9099-C40C66FF867C}">
                  <a14:compatExt spid="_x0000_s5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49</xdr:row>
          <xdr:rowOff>0</xdr:rowOff>
        </xdr:from>
        <xdr:to>
          <xdr:col>3</xdr:col>
          <xdr:colOff>609600</xdr:colOff>
          <xdr:row>50</xdr:row>
          <xdr:rowOff>12700</xdr:rowOff>
        </xdr:to>
        <xdr:sp macro="" textlink="">
          <xdr:nvSpPr>
            <xdr:cNvPr id="54327" name="Check Box 55" hidden="1">
              <a:extLst>
                <a:ext uri="{63B3BB69-23CF-44E3-9099-C40C66FF867C}">
                  <a14:compatExt spid="_x0000_s5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8" name="Check Box 56" hidden="1">
              <a:extLst>
                <a:ext uri="{63B3BB69-23CF-44E3-9099-C40C66FF867C}">
                  <a14:compatExt spid="_x0000_s5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29" name="Check Box 57" hidden="1">
              <a:extLst>
                <a:ext uri="{63B3BB69-23CF-44E3-9099-C40C66FF867C}">
                  <a14:compatExt spid="_x0000_s5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0" name="Check Box 58" hidden="1">
              <a:extLst>
                <a:ext uri="{63B3BB69-23CF-44E3-9099-C40C66FF867C}">
                  <a14:compatExt spid="_x0000_s5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1" name="Check Box 59" hidden="1">
              <a:extLst>
                <a:ext uri="{63B3BB69-23CF-44E3-9099-C40C66FF867C}">
                  <a14:compatExt spid="_x0000_s5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xdr:row>
          <xdr:rowOff>0</xdr:rowOff>
        </xdr:from>
        <xdr:to>
          <xdr:col>3</xdr:col>
          <xdr:colOff>609600</xdr:colOff>
          <xdr:row>51</xdr:row>
          <xdr:rowOff>12700</xdr:rowOff>
        </xdr:to>
        <xdr:sp macro="" textlink="">
          <xdr:nvSpPr>
            <xdr:cNvPr id="54332" name="Check Box 60" hidden="1">
              <a:extLst>
                <a:ext uri="{63B3BB69-23CF-44E3-9099-C40C66FF867C}">
                  <a14:compatExt spid="_x0000_s5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3" name="Check Box 61" hidden="1">
              <a:extLst>
                <a:ext uri="{63B3BB69-23CF-44E3-9099-C40C66FF867C}">
                  <a14:compatExt spid="_x0000_s5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4" name="Check Box 62" hidden="1">
              <a:extLst>
                <a:ext uri="{63B3BB69-23CF-44E3-9099-C40C66FF867C}">
                  <a14:compatExt spid="_x0000_s5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5" name="Check Box 63" hidden="1">
              <a:extLst>
                <a:ext uri="{63B3BB69-23CF-44E3-9099-C40C66FF867C}">
                  <a14:compatExt spid="_x0000_s5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6" name="Check Box 64" hidden="1">
              <a:extLst>
                <a:ext uri="{63B3BB69-23CF-44E3-9099-C40C66FF867C}">
                  <a14:compatExt spid="_x0000_s5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51</xdr:row>
          <xdr:rowOff>0</xdr:rowOff>
        </xdr:from>
        <xdr:to>
          <xdr:col>3</xdr:col>
          <xdr:colOff>609600</xdr:colOff>
          <xdr:row>52</xdr:row>
          <xdr:rowOff>12700</xdr:rowOff>
        </xdr:to>
        <xdr:sp macro="" textlink="">
          <xdr:nvSpPr>
            <xdr:cNvPr id="54337" name="Check Box 65" hidden="1">
              <a:extLst>
                <a:ext uri="{63B3BB69-23CF-44E3-9099-C40C66FF867C}">
                  <a14:compatExt spid="_x0000_s5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8" name="Check Box 66" hidden="1">
              <a:extLst>
                <a:ext uri="{63B3BB69-23CF-44E3-9099-C40C66FF867C}">
                  <a14:compatExt spid="_x0000_s5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39" name="Check Box 67" hidden="1">
              <a:extLst>
                <a:ext uri="{63B3BB69-23CF-44E3-9099-C40C66FF867C}">
                  <a14:compatExt spid="_x0000_s5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0" name="Check Box 68" hidden="1">
              <a:extLst>
                <a:ext uri="{63B3BB69-23CF-44E3-9099-C40C66FF867C}">
                  <a14:compatExt spid="_x0000_s5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1" name="Check Box 69" hidden="1">
              <a:extLst>
                <a:ext uri="{63B3BB69-23CF-44E3-9099-C40C66FF867C}">
                  <a14:compatExt spid="_x0000_s5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xdr:row>
          <xdr:rowOff>0</xdr:rowOff>
        </xdr:from>
        <xdr:to>
          <xdr:col>3</xdr:col>
          <xdr:colOff>609600</xdr:colOff>
          <xdr:row>53</xdr:row>
          <xdr:rowOff>12700</xdr:rowOff>
        </xdr:to>
        <xdr:sp macro="" textlink="">
          <xdr:nvSpPr>
            <xdr:cNvPr id="54342" name="Check Box 70" hidden="1">
              <a:extLst>
                <a:ext uri="{63B3BB69-23CF-44E3-9099-C40C66FF867C}">
                  <a14:compatExt spid="_x0000_s5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3" name="Check Box 71" hidden="1">
              <a:extLst>
                <a:ext uri="{63B3BB69-23CF-44E3-9099-C40C66FF867C}">
                  <a14:compatExt spid="_x0000_s5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4" name="Check Box 72" hidden="1">
              <a:extLst>
                <a:ext uri="{63B3BB69-23CF-44E3-9099-C40C66FF867C}">
                  <a14:compatExt spid="_x0000_s5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5" name="Check Box 73" hidden="1">
              <a:extLst>
                <a:ext uri="{63B3BB69-23CF-44E3-9099-C40C66FF867C}">
                  <a14:compatExt spid="_x0000_s5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6" name="Check Box 74" hidden="1">
              <a:extLst>
                <a:ext uri="{63B3BB69-23CF-44E3-9099-C40C66FF867C}">
                  <a14:compatExt spid="_x0000_s5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53</xdr:row>
          <xdr:rowOff>0</xdr:rowOff>
        </xdr:from>
        <xdr:to>
          <xdr:col>3</xdr:col>
          <xdr:colOff>609600</xdr:colOff>
          <xdr:row>54</xdr:row>
          <xdr:rowOff>12700</xdr:rowOff>
        </xdr:to>
        <xdr:sp macro="" textlink="">
          <xdr:nvSpPr>
            <xdr:cNvPr id="54347" name="Check Box 75" hidden="1">
              <a:extLst>
                <a:ext uri="{63B3BB69-23CF-44E3-9099-C40C66FF867C}">
                  <a14:compatExt spid="_x0000_s5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8" name="Check Box 76" hidden="1">
              <a:extLst>
                <a:ext uri="{63B3BB69-23CF-44E3-9099-C40C66FF867C}">
                  <a14:compatExt spid="_x0000_s5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49" name="Check Box 77" hidden="1">
              <a:extLst>
                <a:ext uri="{63B3BB69-23CF-44E3-9099-C40C66FF867C}">
                  <a14:compatExt spid="_x0000_s5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0" name="Check Box 78" hidden="1">
              <a:extLst>
                <a:ext uri="{63B3BB69-23CF-44E3-9099-C40C66FF867C}">
                  <a14:compatExt spid="_x0000_s5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1" name="Check Box 79" hidden="1">
              <a:extLst>
                <a:ext uri="{63B3BB69-23CF-44E3-9099-C40C66FF867C}">
                  <a14:compatExt spid="_x0000_s5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54</xdr:row>
          <xdr:rowOff>0</xdr:rowOff>
        </xdr:from>
        <xdr:to>
          <xdr:col>3</xdr:col>
          <xdr:colOff>609600</xdr:colOff>
          <xdr:row>55</xdr:row>
          <xdr:rowOff>12700</xdr:rowOff>
        </xdr:to>
        <xdr:sp macro="" textlink="">
          <xdr:nvSpPr>
            <xdr:cNvPr id="54352" name="Check Box 80" hidden="1">
              <a:extLst>
                <a:ext uri="{63B3BB69-23CF-44E3-9099-C40C66FF867C}">
                  <a14:compatExt spid="_x0000_s5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3" name="Check Box 81" hidden="1">
              <a:extLst>
                <a:ext uri="{63B3BB69-23CF-44E3-9099-C40C66FF867C}">
                  <a14:compatExt spid="_x0000_s5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4" name="Check Box 82" hidden="1">
              <a:extLst>
                <a:ext uri="{63B3BB69-23CF-44E3-9099-C40C66FF867C}">
                  <a14:compatExt spid="_x0000_s5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5" name="Check Box 83" hidden="1">
              <a:extLst>
                <a:ext uri="{63B3BB69-23CF-44E3-9099-C40C66FF867C}">
                  <a14:compatExt spid="_x0000_s5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6" name="Check Box 84" hidden="1">
              <a:extLst>
                <a:ext uri="{63B3BB69-23CF-44E3-9099-C40C66FF867C}">
                  <a14:compatExt spid="_x0000_s5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xdr:row>
          <xdr:rowOff>0</xdr:rowOff>
        </xdr:from>
        <xdr:to>
          <xdr:col>3</xdr:col>
          <xdr:colOff>609600</xdr:colOff>
          <xdr:row>56</xdr:row>
          <xdr:rowOff>12700</xdr:rowOff>
        </xdr:to>
        <xdr:sp macro="" textlink="">
          <xdr:nvSpPr>
            <xdr:cNvPr id="54357" name="Check Box 85" hidden="1">
              <a:extLst>
                <a:ext uri="{63B3BB69-23CF-44E3-9099-C40C66FF867C}">
                  <a14:compatExt spid="_x0000_s5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8" name="Check Box 86" hidden="1">
              <a:extLst>
                <a:ext uri="{63B3BB69-23CF-44E3-9099-C40C66FF867C}">
                  <a14:compatExt spid="_x0000_s5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59" name="Check Box 87" hidden="1">
              <a:extLst>
                <a:ext uri="{63B3BB69-23CF-44E3-9099-C40C66FF867C}">
                  <a14:compatExt spid="_x0000_s5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0" name="Check Box 88" hidden="1">
              <a:extLst>
                <a:ext uri="{63B3BB69-23CF-44E3-9099-C40C66FF867C}">
                  <a14:compatExt spid="_x0000_s5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1" name="Check Box 89" hidden="1">
              <a:extLst>
                <a:ext uri="{63B3BB69-23CF-44E3-9099-C40C66FF867C}">
                  <a14:compatExt spid="_x0000_s5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xdr:row>
          <xdr:rowOff>0</xdr:rowOff>
        </xdr:from>
        <xdr:to>
          <xdr:col>3</xdr:col>
          <xdr:colOff>609600</xdr:colOff>
          <xdr:row>57</xdr:row>
          <xdr:rowOff>12700</xdr:rowOff>
        </xdr:to>
        <xdr:sp macro="" textlink="">
          <xdr:nvSpPr>
            <xdr:cNvPr id="54362" name="Check Box 90" hidden="1">
              <a:extLst>
                <a:ext uri="{63B3BB69-23CF-44E3-9099-C40C66FF867C}">
                  <a14:compatExt spid="_x0000_s5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3" name="Check Box 91" hidden="1">
              <a:extLst>
                <a:ext uri="{63B3BB69-23CF-44E3-9099-C40C66FF867C}">
                  <a14:compatExt spid="_x0000_s5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4" name="Check Box 92" hidden="1">
              <a:extLst>
                <a:ext uri="{63B3BB69-23CF-44E3-9099-C40C66FF867C}">
                  <a14:compatExt spid="_x0000_s5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5" name="Check Box 93" hidden="1">
              <a:extLst>
                <a:ext uri="{63B3BB69-23CF-44E3-9099-C40C66FF867C}">
                  <a14:compatExt spid="_x0000_s5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6" name="Check Box 94" hidden="1">
              <a:extLst>
                <a:ext uri="{63B3BB69-23CF-44E3-9099-C40C66FF867C}">
                  <a14:compatExt spid="_x0000_s5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57</xdr:row>
          <xdr:rowOff>0</xdr:rowOff>
        </xdr:from>
        <xdr:to>
          <xdr:col>3</xdr:col>
          <xdr:colOff>609600</xdr:colOff>
          <xdr:row>58</xdr:row>
          <xdr:rowOff>12700</xdr:rowOff>
        </xdr:to>
        <xdr:sp macro="" textlink="">
          <xdr:nvSpPr>
            <xdr:cNvPr id="54367" name="Check Box 95" hidden="1">
              <a:extLst>
                <a:ext uri="{63B3BB69-23CF-44E3-9099-C40C66FF867C}">
                  <a14:compatExt spid="_x0000_s5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8" name="Check Box 96" hidden="1">
              <a:extLst>
                <a:ext uri="{63B3BB69-23CF-44E3-9099-C40C66FF867C}">
                  <a14:compatExt spid="_x0000_s5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69" name="Check Box 97" hidden="1">
              <a:extLst>
                <a:ext uri="{63B3BB69-23CF-44E3-9099-C40C66FF867C}">
                  <a14:compatExt spid="_x0000_s5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0" name="Check Box 98" hidden="1">
              <a:extLst>
                <a:ext uri="{63B3BB69-23CF-44E3-9099-C40C66FF867C}">
                  <a14:compatExt spid="_x0000_s5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1" name="Check Box 99" hidden="1">
              <a:extLst>
                <a:ext uri="{63B3BB69-23CF-44E3-9099-C40C66FF867C}">
                  <a14:compatExt spid="_x0000_s5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58</xdr:row>
          <xdr:rowOff>0</xdr:rowOff>
        </xdr:from>
        <xdr:to>
          <xdr:col>3</xdr:col>
          <xdr:colOff>609600</xdr:colOff>
          <xdr:row>59</xdr:row>
          <xdr:rowOff>12700</xdr:rowOff>
        </xdr:to>
        <xdr:sp macro="" textlink="">
          <xdr:nvSpPr>
            <xdr:cNvPr id="54372" name="Check Box 100" hidden="1">
              <a:extLst>
                <a:ext uri="{63B3BB69-23CF-44E3-9099-C40C66FF867C}">
                  <a14:compatExt spid="_x0000_s5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3" name="Check Box 101" hidden="1">
              <a:extLst>
                <a:ext uri="{63B3BB69-23CF-44E3-9099-C40C66FF867C}">
                  <a14:compatExt spid="_x0000_s5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4" name="Check Box 102" hidden="1">
              <a:extLst>
                <a:ext uri="{63B3BB69-23CF-44E3-9099-C40C66FF867C}">
                  <a14:compatExt spid="_x0000_s5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5" name="Check Box 103" hidden="1">
              <a:extLst>
                <a:ext uri="{63B3BB69-23CF-44E3-9099-C40C66FF867C}">
                  <a14:compatExt spid="_x0000_s5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6" name="Check Box 104" hidden="1">
              <a:extLst>
                <a:ext uri="{63B3BB69-23CF-44E3-9099-C40C66FF867C}">
                  <a14:compatExt spid="_x0000_s5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0</xdr:rowOff>
        </xdr:from>
        <xdr:to>
          <xdr:col>3</xdr:col>
          <xdr:colOff>609600</xdr:colOff>
          <xdr:row>60</xdr:row>
          <xdr:rowOff>0</xdr:rowOff>
        </xdr:to>
        <xdr:sp macro="" textlink="">
          <xdr:nvSpPr>
            <xdr:cNvPr id="54377" name="Check Box 105" hidden="1">
              <a:extLst>
                <a:ext uri="{63B3BB69-23CF-44E3-9099-C40C66FF867C}">
                  <a14:compatExt spid="_x0000_s5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8</xdr:row>
          <xdr:rowOff>0</xdr:rowOff>
        </xdr:from>
        <xdr:to>
          <xdr:col>2</xdr:col>
          <xdr:colOff>609600</xdr:colOff>
          <xdr:row>8</xdr:row>
          <xdr:rowOff>209550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412750</xdr:colOff>
          <xdr:row>11</xdr:row>
          <xdr:rowOff>203200</xdr:rowOff>
        </xdr:from>
        <xdr:to>
          <xdr:col>2</xdr:col>
          <xdr:colOff>603250</xdr:colOff>
          <xdr:row>11</xdr:row>
          <xdr:rowOff>412750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15</xdr:row>
          <xdr:rowOff>0</xdr:rowOff>
        </xdr:from>
        <xdr:to>
          <xdr:col>2</xdr:col>
          <xdr:colOff>609600</xdr:colOff>
          <xdr:row>15</xdr:row>
          <xdr:rowOff>209550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16</xdr:row>
          <xdr:rowOff>209550</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19</xdr:row>
          <xdr:rowOff>0</xdr:rowOff>
        </xdr:from>
        <xdr:to>
          <xdr:col>2</xdr:col>
          <xdr:colOff>609600</xdr:colOff>
          <xdr:row>19</xdr:row>
          <xdr:rowOff>209550</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20</xdr:row>
          <xdr:rowOff>0</xdr:rowOff>
        </xdr:from>
        <xdr:to>
          <xdr:col>2</xdr:col>
          <xdr:colOff>609600</xdr:colOff>
          <xdr:row>20</xdr:row>
          <xdr:rowOff>209550</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21</xdr:row>
          <xdr:rowOff>0</xdr:rowOff>
        </xdr:from>
        <xdr:to>
          <xdr:col>2</xdr:col>
          <xdr:colOff>609600</xdr:colOff>
          <xdr:row>22</xdr:row>
          <xdr:rowOff>209550</xdr:rowOff>
        </xdr:to>
        <xdr:grpSp>
          <xdr:nvGrpSpPr>
            <xdr:cNvPr id="2" name="Group 1"/>
            <xdr:cNvGrpSpPr/>
          </xdr:nvGrpSpPr>
          <xdr:grpSpPr>
            <a:xfrm>
              <a:off x="5664200" y="13868400"/>
              <a:ext cx="190500" cy="533400"/>
              <a:chOff x="5429250" y="13916025"/>
              <a:chExt cx="190500" cy="533400"/>
            </a:xfrm>
          </xdr:grpSpPr>
          <xdr:sp macro="" textlink="">
            <xdr:nvSpPr>
              <xdr:cNvPr id="55310" name="Check Box 14" hidden="1">
                <a:extLst>
                  <a:ext uri="{63B3BB69-23CF-44E3-9099-C40C66FF867C}">
                    <a14:compatExt spid="_x0000_s55310"/>
                  </a:ext>
                </a:extLst>
              </xdr:cNvPr>
              <xdr:cNvSpPr/>
            </xdr:nvSpPr>
            <xdr:spPr bwMode="auto">
              <a:xfrm>
                <a:off x="5429250" y="1391602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1" name="Check Box 15" hidden="1">
                <a:extLst>
                  <a:ext uri="{63B3BB69-23CF-44E3-9099-C40C66FF867C}">
                    <a14:compatExt spid="_x0000_s55311"/>
                  </a:ext>
                </a:extLst>
              </xdr:cNvPr>
              <xdr:cNvSpPr/>
            </xdr:nvSpPr>
            <xdr:spPr bwMode="auto">
              <a:xfrm>
                <a:off x="5429250" y="14239875"/>
                <a:ext cx="1905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361950</xdr:colOff>
          <xdr:row>13</xdr:row>
          <xdr:rowOff>0</xdr:rowOff>
        </xdr:from>
        <xdr:to>
          <xdr:col>3</xdr:col>
          <xdr:colOff>127000</xdr:colOff>
          <xdr:row>13</xdr:row>
          <xdr:rowOff>209550</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16.xml"/><Relationship Id="rId21" Type="http://schemas.openxmlformats.org/officeDocument/2006/relationships/ctrlProp" Target="../ctrlProps/ctrlProp211.xml"/><Relationship Id="rId42" Type="http://schemas.openxmlformats.org/officeDocument/2006/relationships/ctrlProp" Target="../ctrlProps/ctrlProp232.xml"/><Relationship Id="rId47" Type="http://schemas.openxmlformats.org/officeDocument/2006/relationships/ctrlProp" Target="../ctrlProps/ctrlProp237.xml"/><Relationship Id="rId63" Type="http://schemas.openxmlformats.org/officeDocument/2006/relationships/ctrlProp" Target="../ctrlProps/ctrlProp253.xml"/><Relationship Id="rId68" Type="http://schemas.openxmlformats.org/officeDocument/2006/relationships/ctrlProp" Target="../ctrlProps/ctrlProp258.xml"/><Relationship Id="rId84" Type="http://schemas.openxmlformats.org/officeDocument/2006/relationships/ctrlProp" Target="../ctrlProps/ctrlProp274.xml"/><Relationship Id="rId89" Type="http://schemas.openxmlformats.org/officeDocument/2006/relationships/ctrlProp" Target="../ctrlProps/ctrlProp279.xml"/><Relationship Id="rId7" Type="http://schemas.openxmlformats.org/officeDocument/2006/relationships/ctrlProp" Target="../ctrlProps/ctrlProp197.xml"/><Relationship Id="rId71" Type="http://schemas.openxmlformats.org/officeDocument/2006/relationships/ctrlProp" Target="../ctrlProps/ctrlProp261.xml"/><Relationship Id="rId92" Type="http://schemas.openxmlformats.org/officeDocument/2006/relationships/ctrlProp" Target="../ctrlProps/ctrlProp282.xml"/><Relationship Id="rId2" Type="http://schemas.openxmlformats.org/officeDocument/2006/relationships/drawing" Target="../drawings/drawing8.xml"/><Relationship Id="rId16" Type="http://schemas.openxmlformats.org/officeDocument/2006/relationships/ctrlProp" Target="../ctrlProps/ctrlProp206.xml"/><Relationship Id="rId29" Type="http://schemas.openxmlformats.org/officeDocument/2006/relationships/ctrlProp" Target="../ctrlProps/ctrlProp219.xml"/><Relationship Id="rId11" Type="http://schemas.openxmlformats.org/officeDocument/2006/relationships/ctrlProp" Target="../ctrlProps/ctrlProp201.xml"/><Relationship Id="rId24" Type="http://schemas.openxmlformats.org/officeDocument/2006/relationships/ctrlProp" Target="../ctrlProps/ctrlProp214.xml"/><Relationship Id="rId32" Type="http://schemas.openxmlformats.org/officeDocument/2006/relationships/ctrlProp" Target="../ctrlProps/ctrlProp222.xml"/><Relationship Id="rId37" Type="http://schemas.openxmlformats.org/officeDocument/2006/relationships/ctrlProp" Target="../ctrlProps/ctrlProp227.xml"/><Relationship Id="rId40" Type="http://schemas.openxmlformats.org/officeDocument/2006/relationships/ctrlProp" Target="../ctrlProps/ctrlProp230.xml"/><Relationship Id="rId45" Type="http://schemas.openxmlformats.org/officeDocument/2006/relationships/ctrlProp" Target="../ctrlProps/ctrlProp235.xml"/><Relationship Id="rId53" Type="http://schemas.openxmlformats.org/officeDocument/2006/relationships/ctrlProp" Target="../ctrlProps/ctrlProp243.xml"/><Relationship Id="rId58" Type="http://schemas.openxmlformats.org/officeDocument/2006/relationships/ctrlProp" Target="../ctrlProps/ctrlProp248.xml"/><Relationship Id="rId66" Type="http://schemas.openxmlformats.org/officeDocument/2006/relationships/ctrlProp" Target="../ctrlProps/ctrlProp256.xml"/><Relationship Id="rId74" Type="http://schemas.openxmlformats.org/officeDocument/2006/relationships/ctrlProp" Target="../ctrlProps/ctrlProp264.xml"/><Relationship Id="rId79" Type="http://schemas.openxmlformats.org/officeDocument/2006/relationships/ctrlProp" Target="../ctrlProps/ctrlProp269.xml"/><Relationship Id="rId87" Type="http://schemas.openxmlformats.org/officeDocument/2006/relationships/ctrlProp" Target="../ctrlProps/ctrlProp277.xml"/><Relationship Id="rId102" Type="http://schemas.openxmlformats.org/officeDocument/2006/relationships/ctrlProp" Target="../ctrlProps/ctrlProp292.xml"/><Relationship Id="rId5" Type="http://schemas.openxmlformats.org/officeDocument/2006/relationships/ctrlProp" Target="../ctrlProps/ctrlProp195.xml"/><Relationship Id="rId61" Type="http://schemas.openxmlformats.org/officeDocument/2006/relationships/ctrlProp" Target="../ctrlProps/ctrlProp251.xml"/><Relationship Id="rId82" Type="http://schemas.openxmlformats.org/officeDocument/2006/relationships/ctrlProp" Target="../ctrlProps/ctrlProp272.xml"/><Relationship Id="rId90" Type="http://schemas.openxmlformats.org/officeDocument/2006/relationships/ctrlProp" Target="../ctrlProps/ctrlProp280.xml"/><Relationship Id="rId95" Type="http://schemas.openxmlformats.org/officeDocument/2006/relationships/ctrlProp" Target="../ctrlProps/ctrlProp285.xml"/><Relationship Id="rId19" Type="http://schemas.openxmlformats.org/officeDocument/2006/relationships/ctrlProp" Target="../ctrlProps/ctrlProp209.xml"/><Relationship Id="rId14" Type="http://schemas.openxmlformats.org/officeDocument/2006/relationships/ctrlProp" Target="../ctrlProps/ctrlProp204.xml"/><Relationship Id="rId22" Type="http://schemas.openxmlformats.org/officeDocument/2006/relationships/ctrlProp" Target="../ctrlProps/ctrlProp212.xml"/><Relationship Id="rId27" Type="http://schemas.openxmlformats.org/officeDocument/2006/relationships/ctrlProp" Target="../ctrlProps/ctrlProp217.xml"/><Relationship Id="rId30" Type="http://schemas.openxmlformats.org/officeDocument/2006/relationships/ctrlProp" Target="../ctrlProps/ctrlProp220.xml"/><Relationship Id="rId35" Type="http://schemas.openxmlformats.org/officeDocument/2006/relationships/ctrlProp" Target="../ctrlProps/ctrlProp225.xml"/><Relationship Id="rId43" Type="http://schemas.openxmlformats.org/officeDocument/2006/relationships/ctrlProp" Target="../ctrlProps/ctrlProp233.xml"/><Relationship Id="rId48" Type="http://schemas.openxmlformats.org/officeDocument/2006/relationships/ctrlProp" Target="../ctrlProps/ctrlProp238.xml"/><Relationship Id="rId56" Type="http://schemas.openxmlformats.org/officeDocument/2006/relationships/ctrlProp" Target="../ctrlProps/ctrlProp246.xml"/><Relationship Id="rId64" Type="http://schemas.openxmlformats.org/officeDocument/2006/relationships/ctrlProp" Target="../ctrlProps/ctrlProp254.xml"/><Relationship Id="rId69" Type="http://schemas.openxmlformats.org/officeDocument/2006/relationships/ctrlProp" Target="../ctrlProps/ctrlProp259.xml"/><Relationship Id="rId77" Type="http://schemas.openxmlformats.org/officeDocument/2006/relationships/ctrlProp" Target="../ctrlProps/ctrlProp267.xml"/><Relationship Id="rId100" Type="http://schemas.openxmlformats.org/officeDocument/2006/relationships/ctrlProp" Target="../ctrlProps/ctrlProp290.xml"/><Relationship Id="rId105" Type="http://schemas.openxmlformats.org/officeDocument/2006/relationships/ctrlProp" Target="../ctrlProps/ctrlProp295.xml"/><Relationship Id="rId8" Type="http://schemas.openxmlformats.org/officeDocument/2006/relationships/ctrlProp" Target="../ctrlProps/ctrlProp198.xml"/><Relationship Id="rId51" Type="http://schemas.openxmlformats.org/officeDocument/2006/relationships/ctrlProp" Target="../ctrlProps/ctrlProp241.xml"/><Relationship Id="rId72" Type="http://schemas.openxmlformats.org/officeDocument/2006/relationships/ctrlProp" Target="../ctrlProps/ctrlProp262.xml"/><Relationship Id="rId80" Type="http://schemas.openxmlformats.org/officeDocument/2006/relationships/ctrlProp" Target="../ctrlProps/ctrlProp270.xml"/><Relationship Id="rId85" Type="http://schemas.openxmlformats.org/officeDocument/2006/relationships/ctrlProp" Target="../ctrlProps/ctrlProp275.xml"/><Relationship Id="rId93" Type="http://schemas.openxmlformats.org/officeDocument/2006/relationships/ctrlProp" Target="../ctrlProps/ctrlProp283.xml"/><Relationship Id="rId98" Type="http://schemas.openxmlformats.org/officeDocument/2006/relationships/ctrlProp" Target="../ctrlProps/ctrlProp288.xml"/><Relationship Id="rId3" Type="http://schemas.openxmlformats.org/officeDocument/2006/relationships/vmlDrawing" Target="../drawings/vmlDrawing7.vml"/><Relationship Id="rId12" Type="http://schemas.openxmlformats.org/officeDocument/2006/relationships/ctrlProp" Target="../ctrlProps/ctrlProp202.xml"/><Relationship Id="rId17" Type="http://schemas.openxmlformats.org/officeDocument/2006/relationships/ctrlProp" Target="../ctrlProps/ctrlProp207.xml"/><Relationship Id="rId25" Type="http://schemas.openxmlformats.org/officeDocument/2006/relationships/ctrlProp" Target="../ctrlProps/ctrlProp215.xml"/><Relationship Id="rId33" Type="http://schemas.openxmlformats.org/officeDocument/2006/relationships/ctrlProp" Target="../ctrlProps/ctrlProp223.xml"/><Relationship Id="rId38" Type="http://schemas.openxmlformats.org/officeDocument/2006/relationships/ctrlProp" Target="../ctrlProps/ctrlProp228.xml"/><Relationship Id="rId46" Type="http://schemas.openxmlformats.org/officeDocument/2006/relationships/ctrlProp" Target="../ctrlProps/ctrlProp236.xml"/><Relationship Id="rId59" Type="http://schemas.openxmlformats.org/officeDocument/2006/relationships/ctrlProp" Target="../ctrlProps/ctrlProp249.xml"/><Relationship Id="rId67" Type="http://schemas.openxmlformats.org/officeDocument/2006/relationships/ctrlProp" Target="../ctrlProps/ctrlProp257.xml"/><Relationship Id="rId103" Type="http://schemas.openxmlformats.org/officeDocument/2006/relationships/ctrlProp" Target="../ctrlProps/ctrlProp293.xml"/><Relationship Id="rId20" Type="http://schemas.openxmlformats.org/officeDocument/2006/relationships/ctrlProp" Target="../ctrlProps/ctrlProp210.xml"/><Relationship Id="rId41" Type="http://schemas.openxmlformats.org/officeDocument/2006/relationships/ctrlProp" Target="../ctrlProps/ctrlProp231.xml"/><Relationship Id="rId54" Type="http://schemas.openxmlformats.org/officeDocument/2006/relationships/ctrlProp" Target="../ctrlProps/ctrlProp244.xml"/><Relationship Id="rId62" Type="http://schemas.openxmlformats.org/officeDocument/2006/relationships/ctrlProp" Target="../ctrlProps/ctrlProp252.xml"/><Relationship Id="rId70" Type="http://schemas.openxmlformats.org/officeDocument/2006/relationships/ctrlProp" Target="../ctrlProps/ctrlProp260.xml"/><Relationship Id="rId75" Type="http://schemas.openxmlformats.org/officeDocument/2006/relationships/ctrlProp" Target="../ctrlProps/ctrlProp265.xml"/><Relationship Id="rId83" Type="http://schemas.openxmlformats.org/officeDocument/2006/relationships/ctrlProp" Target="../ctrlProps/ctrlProp273.xml"/><Relationship Id="rId88" Type="http://schemas.openxmlformats.org/officeDocument/2006/relationships/ctrlProp" Target="../ctrlProps/ctrlProp278.xml"/><Relationship Id="rId91" Type="http://schemas.openxmlformats.org/officeDocument/2006/relationships/ctrlProp" Target="../ctrlProps/ctrlProp281.xml"/><Relationship Id="rId96" Type="http://schemas.openxmlformats.org/officeDocument/2006/relationships/ctrlProp" Target="../ctrlProps/ctrlProp286.xml"/><Relationship Id="rId1" Type="http://schemas.openxmlformats.org/officeDocument/2006/relationships/printerSettings" Target="../printerSettings/printerSettings10.bin"/><Relationship Id="rId6" Type="http://schemas.openxmlformats.org/officeDocument/2006/relationships/ctrlProp" Target="../ctrlProps/ctrlProp196.xml"/><Relationship Id="rId15" Type="http://schemas.openxmlformats.org/officeDocument/2006/relationships/ctrlProp" Target="../ctrlProps/ctrlProp205.xml"/><Relationship Id="rId23" Type="http://schemas.openxmlformats.org/officeDocument/2006/relationships/ctrlProp" Target="../ctrlProps/ctrlProp213.xml"/><Relationship Id="rId28" Type="http://schemas.openxmlformats.org/officeDocument/2006/relationships/ctrlProp" Target="../ctrlProps/ctrlProp218.xml"/><Relationship Id="rId36" Type="http://schemas.openxmlformats.org/officeDocument/2006/relationships/ctrlProp" Target="../ctrlProps/ctrlProp226.xml"/><Relationship Id="rId49" Type="http://schemas.openxmlformats.org/officeDocument/2006/relationships/ctrlProp" Target="../ctrlProps/ctrlProp239.xml"/><Relationship Id="rId57" Type="http://schemas.openxmlformats.org/officeDocument/2006/relationships/ctrlProp" Target="../ctrlProps/ctrlProp247.xml"/><Relationship Id="rId10" Type="http://schemas.openxmlformats.org/officeDocument/2006/relationships/ctrlProp" Target="../ctrlProps/ctrlProp200.xml"/><Relationship Id="rId31" Type="http://schemas.openxmlformats.org/officeDocument/2006/relationships/ctrlProp" Target="../ctrlProps/ctrlProp221.xml"/><Relationship Id="rId44" Type="http://schemas.openxmlformats.org/officeDocument/2006/relationships/ctrlProp" Target="../ctrlProps/ctrlProp234.xml"/><Relationship Id="rId52" Type="http://schemas.openxmlformats.org/officeDocument/2006/relationships/ctrlProp" Target="../ctrlProps/ctrlProp242.xml"/><Relationship Id="rId60" Type="http://schemas.openxmlformats.org/officeDocument/2006/relationships/ctrlProp" Target="../ctrlProps/ctrlProp250.xml"/><Relationship Id="rId65" Type="http://schemas.openxmlformats.org/officeDocument/2006/relationships/ctrlProp" Target="../ctrlProps/ctrlProp255.xml"/><Relationship Id="rId73" Type="http://schemas.openxmlformats.org/officeDocument/2006/relationships/ctrlProp" Target="../ctrlProps/ctrlProp263.xml"/><Relationship Id="rId78" Type="http://schemas.openxmlformats.org/officeDocument/2006/relationships/ctrlProp" Target="../ctrlProps/ctrlProp268.xml"/><Relationship Id="rId81" Type="http://schemas.openxmlformats.org/officeDocument/2006/relationships/ctrlProp" Target="../ctrlProps/ctrlProp271.xml"/><Relationship Id="rId86" Type="http://schemas.openxmlformats.org/officeDocument/2006/relationships/ctrlProp" Target="../ctrlProps/ctrlProp276.xml"/><Relationship Id="rId94" Type="http://schemas.openxmlformats.org/officeDocument/2006/relationships/ctrlProp" Target="../ctrlProps/ctrlProp284.xml"/><Relationship Id="rId99" Type="http://schemas.openxmlformats.org/officeDocument/2006/relationships/ctrlProp" Target="../ctrlProps/ctrlProp289.xml"/><Relationship Id="rId101" Type="http://schemas.openxmlformats.org/officeDocument/2006/relationships/ctrlProp" Target="../ctrlProps/ctrlProp291.xml"/><Relationship Id="rId4" Type="http://schemas.openxmlformats.org/officeDocument/2006/relationships/ctrlProp" Target="../ctrlProps/ctrlProp194.xml"/><Relationship Id="rId9" Type="http://schemas.openxmlformats.org/officeDocument/2006/relationships/ctrlProp" Target="../ctrlProps/ctrlProp199.xml"/><Relationship Id="rId13" Type="http://schemas.openxmlformats.org/officeDocument/2006/relationships/ctrlProp" Target="../ctrlProps/ctrlProp203.xml"/><Relationship Id="rId18" Type="http://schemas.openxmlformats.org/officeDocument/2006/relationships/ctrlProp" Target="../ctrlProps/ctrlProp208.xml"/><Relationship Id="rId39" Type="http://schemas.openxmlformats.org/officeDocument/2006/relationships/ctrlProp" Target="../ctrlProps/ctrlProp229.xml"/><Relationship Id="rId34" Type="http://schemas.openxmlformats.org/officeDocument/2006/relationships/ctrlProp" Target="../ctrlProps/ctrlProp224.xml"/><Relationship Id="rId50" Type="http://schemas.openxmlformats.org/officeDocument/2006/relationships/ctrlProp" Target="../ctrlProps/ctrlProp240.xml"/><Relationship Id="rId55" Type="http://schemas.openxmlformats.org/officeDocument/2006/relationships/ctrlProp" Target="../ctrlProps/ctrlProp245.xml"/><Relationship Id="rId76" Type="http://schemas.openxmlformats.org/officeDocument/2006/relationships/ctrlProp" Target="../ctrlProps/ctrlProp266.xml"/><Relationship Id="rId97" Type="http://schemas.openxmlformats.org/officeDocument/2006/relationships/ctrlProp" Target="../ctrlProps/ctrlProp287.xml"/><Relationship Id="rId104" Type="http://schemas.openxmlformats.org/officeDocument/2006/relationships/ctrlProp" Target="../ctrlProps/ctrlProp29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00.xml"/><Relationship Id="rId3" Type="http://schemas.openxmlformats.org/officeDocument/2006/relationships/vmlDrawing" Target="../drawings/vmlDrawing8.vml"/><Relationship Id="rId7" Type="http://schemas.openxmlformats.org/officeDocument/2006/relationships/ctrlProp" Target="../ctrlProps/ctrlProp299.xml"/><Relationship Id="rId12" Type="http://schemas.openxmlformats.org/officeDocument/2006/relationships/ctrlProp" Target="../ctrlProps/ctrlProp304.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298.xml"/><Relationship Id="rId11" Type="http://schemas.openxmlformats.org/officeDocument/2006/relationships/ctrlProp" Target="../ctrlProps/ctrlProp303.xml"/><Relationship Id="rId5" Type="http://schemas.openxmlformats.org/officeDocument/2006/relationships/ctrlProp" Target="../ctrlProps/ctrlProp297.xml"/><Relationship Id="rId10" Type="http://schemas.openxmlformats.org/officeDocument/2006/relationships/ctrlProp" Target="../ctrlProps/ctrlProp302.xml"/><Relationship Id="rId4" Type="http://schemas.openxmlformats.org/officeDocument/2006/relationships/ctrlProp" Target="../ctrlProps/ctrlProp296.xml"/><Relationship Id="rId9" Type="http://schemas.openxmlformats.org/officeDocument/2006/relationships/ctrlProp" Target="../ctrlProps/ctrlProp30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09.xml"/><Relationship Id="rId13" Type="http://schemas.openxmlformats.org/officeDocument/2006/relationships/ctrlProp" Target="../ctrlProps/ctrlProp314.xml"/><Relationship Id="rId18" Type="http://schemas.openxmlformats.org/officeDocument/2006/relationships/ctrlProp" Target="../ctrlProps/ctrlProp319.xml"/><Relationship Id="rId26" Type="http://schemas.openxmlformats.org/officeDocument/2006/relationships/ctrlProp" Target="../ctrlProps/ctrlProp327.xml"/><Relationship Id="rId3" Type="http://schemas.openxmlformats.org/officeDocument/2006/relationships/vmlDrawing" Target="../drawings/vmlDrawing9.vml"/><Relationship Id="rId21" Type="http://schemas.openxmlformats.org/officeDocument/2006/relationships/ctrlProp" Target="../ctrlProps/ctrlProp322.xml"/><Relationship Id="rId7" Type="http://schemas.openxmlformats.org/officeDocument/2006/relationships/ctrlProp" Target="../ctrlProps/ctrlProp308.xml"/><Relationship Id="rId12" Type="http://schemas.openxmlformats.org/officeDocument/2006/relationships/ctrlProp" Target="../ctrlProps/ctrlProp313.xml"/><Relationship Id="rId17" Type="http://schemas.openxmlformats.org/officeDocument/2006/relationships/ctrlProp" Target="../ctrlProps/ctrlProp318.xml"/><Relationship Id="rId25" Type="http://schemas.openxmlformats.org/officeDocument/2006/relationships/ctrlProp" Target="../ctrlProps/ctrlProp326.xml"/><Relationship Id="rId2" Type="http://schemas.openxmlformats.org/officeDocument/2006/relationships/drawing" Target="../drawings/drawing10.xml"/><Relationship Id="rId16" Type="http://schemas.openxmlformats.org/officeDocument/2006/relationships/ctrlProp" Target="../ctrlProps/ctrlProp317.xml"/><Relationship Id="rId20" Type="http://schemas.openxmlformats.org/officeDocument/2006/relationships/ctrlProp" Target="../ctrlProps/ctrlProp321.xml"/><Relationship Id="rId29" Type="http://schemas.openxmlformats.org/officeDocument/2006/relationships/ctrlProp" Target="../ctrlProps/ctrlProp330.xml"/><Relationship Id="rId1" Type="http://schemas.openxmlformats.org/officeDocument/2006/relationships/printerSettings" Target="../printerSettings/printerSettings12.bin"/><Relationship Id="rId6" Type="http://schemas.openxmlformats.org/officeDocument/2006/relationships/ctrlProp" Target="../ctrlProps/ctrlProp307.xml"/><Relationship Id="rId11" Type="http://schemas.openxmlformats.org/officeDocument/2006/relationships/ctrlProp" Target="../ctrlProps/ctrlProp312.xml"/><Relationship Id="rId24" Type="http://schemas.openxmlformats.org/officeDocument/2006/relationships/ctrlProp" Target="../ctrlProps/ctrlProp325.xml"/><Relationship Id="rId5" Type="http://schemas.openxmlformats.org/officeDocument/2006/relationships/ctrlProp" Target="../ctrlProps/ctrlProp306.xml"/><Relationship Id="rId15" Type="http://schemas.openxmlformats.org/officeDocument/2006/relationships/ctrlProp" Target="../ctrlProps/ctrlProp316.xml"/><Relationship Id="rId23" Type="http://schemas.openxmlformats.org/officeDocument/2006/relationships/ctrlProp" Target="../ctrlProps/ctrlProp324.xml"/><Relationship Id="rId28" Type="http://schemas.openxmlformats.org/officeDocument/2006/relationships/ctrlProp" Target="../ctrlProps/ctrlProp329.xml"/><Relationship Id="rId10" Type="http://schemas.openxmlformats.org/officeDocument/2006/relationships/ctrlProp" Target="../ctrlProps/ctrlProp311.xml"/><Relationship Id="rId19" Type="http://schemas.openxmlformats.org/officeDocument/2006/relationships/ctrlProp" Target="../ctrlProps/ctrlProp320.xml"/><Relationship Id="rId4" Type="http://schemas.openxmlformats.org/officeDocument/2006/relationships/ctrlProp" Target="../ctrlProps/ctrlProp305.xml"/><Relationship Id="rId9" Type="http://schemas.openxmlformats.org/officeDocument/2006/relationships/ctrlProp" Target="../ctrlProps/ctrlProp310.xml"/><Relationship Id="rId14" Type="http://schemas.openxmlformats.org/officeDocument/2006/relationships/ctrlProp" Target="../ctrlProps/ctrlProp315.xml"/><Relationship Id="rId22" Type="http://schemas.openxmlformats.org/officeDocument/2006/relationships/ctrlProp" Target="../ctrlProps/ctrlProp323.xml"/><Relationship Id="rId27" Type="http://schemas.openxmlformats.org/officeDocument/2006/relationships/ctrlProp" Target="../ctrlProps/ctrlProp328.xml"/><Relationship Id="rId30" Type="http://schemas.openxmlformats.org/officeDocument/2006/relationships/ctrlProp" Target="../ctrlProps/ctrlProp331.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36.xml"/><Relationship Id="rId3" Type="http://schemas.openxmlformats.org/officeDocument/2006/relationships/vmlDrawing" Target="../drawings/vmlDrawing10.vml"/><Relationship Id="rId7" Type="http://schemas.openxmlformats.org/officeDocument/2006/relationships/ctrlProp" Target="../ctrlProps/ctrlProp335.xml"/><Relationship Id="rId12" Type="http://schemas.openxmlformats.org/officeDocument/2006/relationships/ctrlProp" Target="../ctrlProps/ctrlProp340.xml"/><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trlProp" Target="../ctrlProps/ctrlProp334.xml"/><Relationship Id="rId11" Type="http://schemas.openxmlformats.org/officeDocument/2006/relationships/ctrlProp" Target="../ctrlProps/ctrlProp339.xml"/><Relationship Id="rId5" Type="http://schemas.openxmlformats.org/officeDocument/2006/relationships/ctrlProp" Target="../ctrlProps/ctrlProp333.xml"/><Relationship Id="rId10" Type="http://schemas.openxmlformats.org/officeDocument/2006/relationships/ctrlProp" Target="../ctrlProps/ctrlProp338.xml"/><Relationship Id="rId4" Type="http://schemas.openxmlformats.org/officeDocument/2006/relationships/ctrlProp" Target="../ctrlProps/ctrlProp332.xml"/><Relationship Id="rId9" Type="http://schemas.openxmlformats.org/officeDocument/2006/relationships/ctrlProp" Target="../ctrlProps/ctrlProp33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8.xml"/><Relationship Id="rId5" Type="http://schemas.openxmlformats.org/officeDocument/2006/relationships/ctrlProp" Target="../ctrlProps/ctrlProp117.xml"/><Relationship Id="rId4" Type="http://schemas.openxmlformats.org/officeDocument/2006/relationships/ctrlProp" Target="../ctrlProps/ctrlProp11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21.xml"/><Relationship Id="rId5" Type="http://schemas.openxmlformats.org/officeDocument/2006/relationships/ctrlProp" Target="../ctrlProps/ctrlProp120.xml"/><Relationship Id="rId4" Type="http://schemas.openxmlformats.org/officeDocument/2006/relationships/ctrlProp" Target="../ctrlProps/ctrlProp11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25.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24.xml"/><Relationship Id="rId5" Type="http://schemas.openxmlformats.org/officeDocument/2006/relationships/ctrlProp" Target="../ctrlProps/ctrlProp123.xml"/><Relationship Id="rId4" Type="http://schemas.openxmlformats.org/officeDocument/2006/relationships/ctrlProp" Target="../ctrlProps/ctrlProp12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18" Type="http://schemas.openxmlformats.org/officeDocument/2006/relationships/ctrlProp" Target="../ctrlProps/ctrlProp140.xml"/><Relationship Id="rId3" Type="http://schemas.openxmlformats.org/officeDocument/2006/relationships/vmlDrawing" Target="../drawings/vmlDrawing5.vml"/><Relationship Id="rId21" Type="http://schemas.openxmlformats.org/officeDocument/2006/relationships/ctrlProp" Target="../ctrlProps/ctrlProp143.x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 Type="http://schemas.openxmlformats.org/officeDocument/2006/relationships/drawing" Target="../drawings/drawing6.xml"/><Relationship Id="rId16" Type="http://schemas.openxmlformats.org/officeDocument/2006/relationships/ctrlProp" Target="../ctrlProps/ctrlProp138.xml"/><Relationship Id="rId20" Type="http://schemas.openxmlformats.org/officeDocument/2006/relationships/ctrlProp" Target="../ctrlProps/ctrlProp142.xml"/><Relationship Id="rId1" Type="http://schemas.openxmlformats.org/officeDocument/2006/relationships/printerSettings" Target="../printerSettings/printerSettings8.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5" Type="http://schemas.openxmlformats.org/officeDocument/2006/relationships/ctrlProp" Target="../ctrlProps/ctrlProp137.xml"/><Relationship Id="rId23" Type="http://schemas.openxmlformats.org/officeDocument/2006/relationships/ctrlProp" Target="../ctrlProps/ctrlProp145.xml"/><Relationship Id="rId10" Type="http://schemas.openxmlformats.org/officeDocument/2006/relationships/ctrlProp" Target="../ctrlProps/ctrlProp132.xml"/><Relationship Id="rId19" Type="http://schemas.openxmlformats.org/officeDocument/2006/relationships/ctrlProp" Target="../ctrlProps/ctrlProp141.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 Id="rId22" Type="http://schemas.openxmlformats.org/officeDocument/2006/relationships/ctrlProp" Target="../ctrlProps/ctrlProp144.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55.xml"/><Relationship Id="rId18" Type="http://schemas.openxmlformats.org/officeDocument/2006/relationships/ctrlProp" Target="../ctrlProps/ctrlProp160.xml"/><Relationship Id="rId26" Type="http://schemas.openxmlformats.org/officeDocument/2006/relationships/ctrlProp" Target="../ctrlProps/ctrlProp168.xml"/><Relationship Id="rId39" Type="http://schemas.openxmlformats.org/officeDocument/2006/relationships/ctrlProp" Target="../ctrlProps/ctrlProp181.xml"/><Relationship Id="rId3" Type="http://schemas.openxmlformats.org/officeDocument/2006/relationships/vmlDrawing" Target="../drawings/vmlDrawing6.vml"/><Relationship Id="rId21" Type="http://schemas.openxmlformats.org/officeDocument/2006/relationships/ctrlProp" Target="../ctrlProps/ctrlProp163.xml"/><Relationship Id="rId34" Type="http://schemas.openxmlformats.org/officeDocument/2006/relationships/ctrlProp" Target="../ctrlProps/ctrlProp176.xml"/><Relationship Id="rId42" Type="http://schemas.openxmlformats.org/officeDocument/2006/relationships/ctrlProp" Target="../ctrlProps/ctrlProp184.xml"/><Relationship Id="rId47" Type="http://schemas.openxmlformats.org/officeDocument/2006/relationships/ctrlProp" Target="../ctrlProps/ctrlProp189.xml"/><Relationship Id="rId50" Type="http://schemas.openxmlformats.org/officeDocument/2006/relationships/ctrlProp" Target="../ctrlProps/ctrlProp192.xml"/><Relationship Id="rId7" Type="http://schemas.openxmlformats.org/officeDocument/2006/relationships/ctrlProp" Target="../ctrlProps/ctrlProp149.xml"/><Relationship Id="rId12" Type="http://schemas.openxmlformats.org/officeDocument/2006/relationships/ctrlProp" Target="../ctrlProps/ctrlProp154.xml"/><Relationship Id="rId17" Type="http://schemas.openxmlformats.org/officeDocument/2006/relationships/ctrlProp" Target="../ctrlProps/ctrlProp159.xml"/><Relationship Id="rId25" Type="http://schemas.openxmlformats.org/officeDocument/2006/relationships/ctrlProp" Target="../ctrlProps/ctrlProp167.xml"/><Relationship Id="rId33" Type="http://schemas.openxmlformats.org/officeDocument/2006/relationships/ctrlProp" Target="../ctrlProps/ctrlProp175.xml"/><Relationship Id="rId38" Type="http://schemas.openxmlformats.org/officeDocument/2006/relationships/ctrlProp" Target="../ctrlProps/ctrlProp180.xml"/><Relationship Id="rId46" Type="http://schemas.openxmlformats.org/officeDocument/2006/relationships/ctrlProp" Target="../ctrlProps/ctrlProp188.xml"/><Relationship Id="rId2" Type="http://schemas.openxmlformats.org/officeDocument/2006/relationships/drawing" Target="../drawings/drawing7.xml"/><Relationship Id="rId16" Type="http://schemas.openxmlformats.org/officeDocument/2006/relationships/ctrlProp" Target="../ctrlProps/ctrlProp158.xml"/><Relationship Id="rId20" Type="http://schemas.openxmlformats.org/officeDocument/2006/relationships/ctrlProp" Target="../ctrlProps/ctrlProp162.xml"/><Relationship Id="rId29" Type="http://schemas.openxmlformats.org/officeDocument/2006/relationships/ctrlProp" Target="../ctrlProps/ctrlProp171.xml"/><Relationship Id="rId41" Type="http://schemas.openxmlformats.org/officeDocument/2006/relationships/ctrlProp" Target="../ctrlProps/ctrlProp183.xml"/><Relationship Id="rId1" Type="http://schemas.openxmlformats.org/officeDocument/2006/relationships/printerSettings" Target="../printerSettings/printerSettings9.bin"/><Relationship Id="rId6" Type="http://schemas.openxmlformats.org/officeDocument/2006/relationships/ctrlProp" Target="../ctrlProps/ctrlProp148.xml"/><Relationship Id="rId11" Type="http://schemas.openxmlformats.org/officeDocument/2006/relationships/ctrlProp" Target="../ctrlProps/ctrlProp153.xml"/><Relationship Id="rId24" Type="http://schemas.openxmlformats.org/officeDocument/2006/relationships/ctrlProp" Target="../ctrlProps/ctrlProp166.xml"/><Relationship Id="rId32" Type="http://schemas.openxmlformats.org/officeDocument/2006/relationships/ctrlProp" Target="../ctrlProps/ctrlProp174.xml"/><Relationship Id="rId37" Type="http://schemas.openxmlformats.org/officeDocument/2006/relationships/ctrlProp" Target="../ctrlProps/ctrlProp179.xml"/><Relationship Id="rId40" Type="http://schemas.openxmlformats.org/officeDocument/2006/relationships/ctrlProp" Target="../ctrlProps/ctrlProp182.xml"/><Relationship Id="rId45" Type="http://schemas.openxmlformats.org/officeDocument/2006/relationships/ctrlProp" Target="../ctrlProps/ctrlProp187.xml"/><Relationship Id="rId5" Type="http://schemas.openxmlformats.org/officeDocument/2006/relationships/ctrlProp" Target="../ctrlProps/ctrlProp147.xml"/><Relationship Id="rId15" Type="http://schemas.openxmlformats.org/officeDocument/2006/relationships/ctrlProp" Target="../ctrlProps/ctrlProp157.xml"/><Relationship Id="rId23" Type="http://schemas.openxmlformats.org/officeDocument/2006/relationships/ctrlProp" Target="../ctrlProps/ctrlProp165.xml"/><Relationship Id="rId28" Type="http://schemas.openxmlformats.org/officeDocument/2006/relationships/ctrlProp" Target="../ctrlProps/ctrlProp170.xml"/><Relationship Id="rId36" Type="http://schemas.openxmlformats.org/officeDocument/2006/relationships/ctrlProp" Target="../ctrlProps/ctrlProp178.xml"/><Relationship Id="rId49" Type="http://schemas.openxmlformats.org/officeDocument/2006/relationships/ctrlProp" Target="../ctrlProps/ctrlProp191.xml"/><Relationship Id="rId10" Type="http://schemas.openxmlformats.org/officeDocument/2006/relationships/ctrlProp" Target="../ctrlProps/ctrlProp152.xml"/><Relationship Id="rId19" Type="http://schemas.openxmlformats.org/officeDocument/2006/relationships/ctrlProp" Target="../ctrlProps/ctrlProp161.xml"/><Relationship Id="rId31" Type="http://schemas.openxmlformats.org/officeDocument/2006/relationships/ctrlProp" Target="../ctrlProps/ctrlProp173.xml"/><Relationship Id="rId44" Type="http://schemas.openxmlformats.org/officeDocument/2006/relationships/ctrlProp" Target="../ctrlProps/ctrlProp186.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trlProp" Target="../ctrlProps/ctrlProp156.xml"/><Relationship Id="rId22" Type="http://schemas.openxmlformats.org/officeDocument/2006/relationships/ctrlProp" Target="../ctrlProps/ctrlProp164.xml"/><Relationship Id="rId27" Type="http://schemas.openxmlformats.org/officeDocument/2006/relationships/ctrlProp" Target="../ctrlProps/ctrlProp169.xml"/><Relationship Id="rId30" Type="http://schemas.openxmlformats.org/officeDocument/2006/relationships/ctrlProp" Target="../ctrlProps/ctrlProp172.xml"/><Relationship Id="rId35" Type="http://schemas.openxmlformats.org/officeDocument/2006/relationships/ctrlProp" Target="../ctrlProps/ctrlProp177.xml"/><Relationship Id="rId43" Type="http://schemas.openxmlformats.org/officeDocument/2006/relationships/ctrlProp" Target="../ctrlProps/ctrlProp185.xml"/><Relationship Id="rId48" Type="http://schemas.openxmlformats.org/officeDocument/2006/relationships/ctrlProp" Target="../ctrlProps/ctrlProp190.xml"/><Relationship Id="rId8" Type="http://schemas.openxmlformats.org/officeDocument/2006/relationships/ctrlProp" Target="../ctrlProps/ctrlProp150.xml"/><Relationship Id="rId51" Type="http://schemas.openxmlformats.org/officeDocument/2006/relationships/ctrlProp" Target="../ctrlProps/ctrlProp19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6"/>
  <sheetViews>
    <sheetView tabSelected="1" zoomScaleNormal="100" zoomScaleSheetLayoutView="100" workbookViewId="0">
      <selection activeCell="A13" sqref="A13"/>
    </sheetView>
  </sheetViews>
  <sheetFormatPr defaultRowHeight="14.5" x14ac:dyDescent="0.35"/>
  <cols>
    <col min="1" max="1" width="99.453125" style="44" customWidth="1"/>
    <col min="2" max="2" width="55.453125" customWidth="1"/>
  </cols>
  <sheetData>
    <row r="1" spans="1:2" ht="21.75" customHeight="1" x14ac:dyDescent="0.35">
      <c r="A1" s="43" t="s">
        <v>473</v>
      </c>
      <c r="B1" s="408" t="s">
        <v>412</v>
      </c>
    </row>
    <row r="2" spans="1:2" s="6" customFormat="1" ht="112.5" customHeight="1" x14ac:dyDescent="0.35">
      <c r="A2" s="476" t="s">
        <v>464</v>
      </c>
      <c r="B2" s="409" t="str">
        <f>ship_type</f>
        <v>LPD</v>
      </c>
    </row>
    <row r="3" spans="1:2" s="6" customFormat="1" ht="15.75" customHeight="1" x14ac:dyDescent="0.35">
      <c r="A3" s="56" t="s">
        <v>45</v>
      </c>
    </row>
    <row r="4" spans="1:2" ht="15.5" x14ac:dyDescent="0.35">
      <c r="A4" s="46" t="s">
        <v>35</v>
      </c>
    </row>
    <row r="5" spans="1:2" ht="15.5" x14ac:dyDescent="0.35">
      <c r="A5" s="46" t="s">
        <v>36</v>
      </c>
    </row>
    <row r="6" spans="1:2" ht="15.5" x14ac:dyDescent="0.35">
      <c r="A6" s="46" t="s">
        <v>37</v>
      </c>
    </row>
    <row r="7" spans="1:2" ht="15.5" x14ac:dyDescent="0.35">
      <c r="A7" s="47" t="s">
        <v>38</v>
      </c>
    </row>
    <row r="8" spans="1:2" ht="15.5" x14ac:dyDescent="0.35">
      <c r="A8" s="46" t="s">
        <v>62</v>
      </c>
    </row>
    <row r="9" spans="1:2" ht="15.5" x14ac:dyDescent="0.35">
      <c r="A9" s="46" t="s">
        <v>61</v>
      </c>
    </row>
    <row r="10" spans="1:2" ht="15.5" x14ac:dyDescent="0.35">
      <c r="A10" s="47" t="s">
        <v>39</v>
      </c>
    </row>
    <row r="11" spans="1:2" ht="15.5" x14ac:dyDescent="0.35">
      <c r="A11" s="46" t="s">
        <v>74</v>
      </c>
    </row>
    <row r="12" spans="1:2" ht="15.5" x14ac:dyDescent="0.35">
      <c r="A12" s="46" t="s">
        <v>72</v>
      </c>
    </row>
    <row r="13" spans="1:2" ht="15.5" x14ac:dyDescent="0.35">
      <c r="A13" s="47" t="s">
        <v>40</v>
      </c>
    </row>
    <row r="14" spans="1:2" ht="15.5" x14ac:dyDescent="0.35">
      <c r="A14" s="46" t="s">
        <v>209</v>
      </c>
    </row>
    <row r="15" spans="1:2" ht="15.5" x14ac:dyDescent="0.35">
      <c r="A15" s="46" t="s">
        <v>210</v>
      </c>
    </row>
    <row r="16" spans="1:2" ht="15.5" x14ac:dyDescent="0.35">
      <c r="A16" s="47" t="s">
        <v>41</v>
      </c>
    </row>
    <row r="17" spans="1:1" ht="25.5" customHeight="1" x14ac:dyDescent="0.35">
      <c r="A17" s="55" t="s">
        <v>42</v>
      </c>
    </row>
    <row r="18" spans="1:1" ht="30.75" customHeight="1" x14ac:dyDescent="0.35">
      <c r="A18" s="479" t="s">
        <v>211</v>
      </c>
    </row>
    <row r="19" spans="1:1" ht="124.5" customHeight="1" x14ac:dyDescent="0.35">
      <c r="A19" s="410" t="s">
        <v>439</v>
      </c>
    </row>
    <row r="20" spans="1:1" ht="19.5" customHeight="1" x14ac:dyDescent="0.35">
      <c r="A20" s="56" t="s">
        <v>212</v>
      </c>
    </row>
    <row r="21" spans="1:1" ht="69" customHeight="1" x14ac:dyDescent="0.35">
      <c r="A21" s="476" t="s">
        <v>213</v>
      </c>
    </row>
    <row r="22" spans="1:1" ht="19.5" customHeight="1" x14ac:dyDescent="0.35">
      <c r="A22" s="198" t="s">
        <v>214</v>
      </c>
    </row>
    <row r="23" spans="1:1" ht="162.75" customHeight="1" x14ac:dyDescent="0.35">
      <c r="A23" s="476" t="s">
        <v>461</v>
      </c>
    </row>
    <row r="71" spans="1:2" x14ac:dyDescent="0.35">
      <c r="A71" s="403">
        <v>7</v>
      </c>
      <c r="B71" s="404" t="str">
        <f>VLOOKUP(shiptypenum,shiptbl,2,FALSE)</f>
        <v>LPD</v>
      </c>
    </row>
    <row r="72" spans="1:2" x14ac:dyDescent="0.35">
      <c r="A72" s="403"/>
      <c r="B72" s="404"/>
    </row>
    <row r="73" spans="1:2" x14ac:dyDescent="0.35">
      <c r="A73" s="403"/>
      <c r="B73" s="404"/>
    </row>
    <row r="74" spans="1:2" x14ac:dyDescent="0.35">
      <c r="A74" s="405">
        <v>1</v>
      </c>
      <c r="B74" s="404" t="s">
        <v>77</v>
      </c>
    </row>
    <row r="75" spans="1:2" x14ac:dyDescent="0.35">
      <c r="A75" s="405">
        <v>2</v>
      </c>
      <c r="B75" s="404" t="s">
        <v>389</v>
      </c>
    </row>
    <row r="76" spans="1:2" x14ac:dyDescent="0.35">
      <c r="A76" s="405">
        <v>3</v>
      </c>
      <c r="B76" s="404" t="s">
        <v>184</v>
      </c>
    </row>
    <row r="77" spans="1:2" x14ac:dyDescent="0.35">
      <c r="A77" s="405">
        <v>4</v>
      </c>
      <c r="B77" s="404" t="s">
        <v>183</v>
      </c>
    </row>
    <row r="78" spans="1:2" x14ac:dyDescent="0.35">
      <c r="A78" s="405">
        <v>5</v>
      </c>
      <c r="B78" s="404" t="s">
        <v>94</v>
      </c>
    </row>
    <row r="79" spans="1:2" x14ac:dyDescent="0.35">
      <c r="A79" s="405">
        <v>6</v>
      </c>
      <c r="B79" s="404" t="s">
        <v>385</v>
      </c>
    </row>
    <row r="80" spans="1:2" x14ac:dyDescent="0.35">
      <c r="A80" s="405">
        <v>7</v>
      </c>
      <c r="B80" s="404" t="s">
        <v>182</v>
      </c>
    </row>
    <row r="81" spans="1:2" x14ac:dyDescent="0.35">
      <c r="A81" s="405">
        <v>8</v>
      </c>
      <c r="B81" s="404" t="s">
        <v>373</v>
      </c>
    </row>
    <row r="82" spans="1:2" x14ac:dyDescent="0.35">
      <c r="A82" s="405">
        <v>9</v>
      </c>
      <c r="B82" s="404" t="s">
        <v>181</v>
      </c>
    </row>
    <row r="83" spans="1:2" x14ac:dyDescent="0.35">
      <c r="A83" s="405">
        <v>10</v>
      </c>
      <c r="B83" s="404" t="s">
        <v>86</v>
      </c>
    </row>
    <row r="84" spans="1:2" x14ac:dyDescent="0.35">
      <c r="A84" s="405">
        <v>11</v>
      </c>
      <c r="B84" s="404" t="s">
        <v>374</v>
      </c>
    </row>
    <row r="85" spans="1:2" x14ac:dyDescent="0.35">
      <c r="A85" s="405">
        <v>12</v>
      </c>
      <c r="B85" s="404" t="s">
        <v>88</v>
      </c>
    </row>
    <row r="86" spans="1:2" x14ac:dyDescent="0.35">
      <c r="A86" s="405">
        <v>13</v>
      </c>
      <c r="B86" s="404" t="s">
        <v>423</v>
      </c>
    </row>
  </sheetData>
  <sheetProtection selectLockedCells="1" selectUnlockedCells="1"/>
  <pageMargins left="0.7" right="0.7" top="0.75" bottom="0.75" header="0.3" footer="0.3"/>
  <pageSetup orientation="portrait" r:id="rId1"/>
  <headerFooter>
    <oddHeader>&amp;LIntroduction</oddHeader>
    <oddFooter>&amp;C&amp;A&amp;RPage &amp;P</oddFooter>
  </headerFooter>
  <ignoredErrors>
    <ignoredError sqref="B71" evalError="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R70"/>
  <sheetViews>
    <sheetView zoomScaleNormal="100" zoomScaleSheetLayoutView="100" workbookViewId="0">
      <selection activeCell="H8" sqref="H8"/>
    </sheetView>
  </sheetViews>
  <sheetFormatPr defaultRowHeight="15.5" x14ac:dyDescent="0.35"/>
  <cols>
    <col min="1" max="1" width="12.54296875" customWidth="1"/>
    <col min="2" max="2" width="41.1796875" customWidth="1"/>
    <col min="3" max="3" width="22.26953125" customWidth="1"/>
    <col min="4" max="4" width="16.26953125" customWidth="1"/>
    <col min="5" max="5" width="12.7265625" customWidth="1"/>
    <col min="6" max="6" width="12.7265625" style="184" customWidth="1"/>
    <col min="7" max="7" width="30.7265625" style="183" customWidth="1"/>
    <col min="8" max="8" width="32.7265625" customWidth="1"/>
    <col min="9" max="10" width="0" hidden="1" customWidth="1"/>
  </cols>
  <sheetData>
    <row r="1" spans="1:10" x14ac:dyDescent="0.35">
      <c r="A1" s="162" t="s">
        <v>180</v>
      </c>
      <c r="B1" s="163"/>
      <c r="C1" s="164"/>
      <c r="D1" s="162"/>
      <c r="G1" s="371" t="s">
        <v>412</v>
      </c>
    </row>
    <row r="2" spans="1:10" x14ac:dyDescent="0.35">
      <c r="A2" s="162"/>
      <c r="B2" s="163"/>
      <c r="C2" s="164"/>
      <c r="D2" s="162"/>
      <c r="G2" s="372" t="str">
        <f>VLOOKUP(shiptypenum,shiptbl,2,FALSE)</f>
        <v>LPD</v>
      </c>
    </row>
    <row r="3" spans="1:10" x14ac:dyDescent="0.35">
      <c r="A3" s="607" t="s">
        <v>44</v>
      </c>
      <c r="B3" s="607"/>
      <c r="C3" s="166"/>
      <c r="D3" s="162"/>
      <c r="E3" s="165"/>
      <c r="G3" s="186"/>
    </row>
    <row r="4" spans="1:10" s="20" customFormat="1" ht="33.75" customHeight="1" x14ac:dyDescent="0.35">
      <c r="A4" s="585" t="s">
        <v>481</v>
      </c>
      <c r="B4" s="585"/>
      <c r="C4" s="585"/>
      <c r="D4" s="272"/>
      <c r="E4" s="254"/>
      <c r="G4" s="182"/>
    </row>
    <row r="5" spans="1:10" s="20" customFormat="1" ht="33.75" customHeight="1" x14ac:dyDescent="0.35">
      <c r="A5" s="585" t="s">
        <v>480</v>
      </c>
      <c r="B5" s="585"/>
      <c r="C5" s="585"/>
      <c r="D5" s="245"/>
      <c r="E5" s="254"/>
      <c r="G5" s="182"/>
    </row>
    <row r="6" spans="1:10" ht="22.5" customHeight="1" thickBot="1" x14ac:dyDescent="0.4">
      <c r="A6" s="167"/>
      <c r="B6" s="58"/>
      <c r="C6" s="166"/>
      <c r="D6" s="168"/>
      <c r="E6" s="165"/>
    </row>
    <row r="7" spans="1:10" ht="94.5" customHeight="1" thickTop="1" thickBot="1" x14ac:dyDescent="0.4">
      <c r="A7" s="277" t="s">
        <v>171</v>
      </c>
      <c r="B7" s="610" t="s">
        <v>285</v>
      </c>
      <c r="C7" s="611"/>
      <c r="D7" s="462" t="s">
        <v>26</v>
      </c>
      <c r="E7" s="562" t="s">
        <v>24</v>
      </c>
      <c r="F7" s="184" t="s">
        <v>25</v>
      </c>
      <c r="G7" s="317"/>
    </row>
    <row r="8" spans="1:10" ht="66.75" customHeight="1" thickTop="1" thickBot="1" x14ac:dyDescent="0.4">
      <c r="A8" s="267"/>
      <c r="B8" s="595" t="s">
        <v>463</v>
      </c>
      <c r="C8" s="620"/>
      <c r="D8" s="454" t="s">
        <v>267</v>
      </c>
      <c r="E8" s="165"/>
      <c r="G8" s="317"/>
    </row>
    <row r="9" spans="1:10" x14ac:dyDescent="0.35">
      <c r="A9" s="160" t="s">
        <v>425</v>
      </c>
      <c r="B9" s="278" t="s">
        <v>165</v>
      </c>
      <c r="C9" s="360">
        <f>VLOOKUP(ship_type,fitbestunderway,2,FALSE)</f>
        <v>5</v>
      </c>
      <c r="D9" s="265" t="b">
        <v>0</v>
      </c>
      <c r="E9" s="81">
        <v>10</v>
      </c>
      <c r="F9" s="184">
        <f>IF(D9,IF(9="-",0,E9),0)</f>
        <v>0</v>
      </c>
      <c r="G9" s="317"/>
      <c r="I9">
        <f>IF(D9,1,0)</f>
        <v>0</v>
      </c>
    </row>
    <row r="10" spans="1:10" ht="15.75" customHeight="1" x14ac:dyDescent="0.35">
      <c r="A10" s="160"/>
      <c r="B10" s="274"/>
      <c r="C10" s="360">
        <f>VLOOKUP(ship_type,fitbetterunderway,2,FALSE)</f>
        <v>4</v>
      </c>
      <c r="D10" s="265" t="b">
        <v>0</v>
      </c>
      <c r="E10" s="81">
        <f>0.85*E9</f>
        <v>8.5</v>
      </c>
      <c r="F10" s="184">
        <f t="shared" ref="F10:F20" si="0">IF(D10,IF(9="-",0,E10),0)</f>
        <v>0</v>
      </c>
      <c r="G10" s="317"/>
      <c r="H10" t="str">
        <f>IF(J11&gt;1,"Entry error, select one answer","")</f>
        <v/>
      </c>
      <c r="I10">
        <f t="shared" ref="I10:I20" si="1">IF(D10,1,0)</f>
        <v>0</v>
      </c>
    </row>
    <row r="11" spans="1:10" ht="15.75" customHeight="1" x14ac:dyDescent="0.35">
      <c r="A11" s="160"/>
      <c r="B11" s="279"/>
      <c r="C11" s="361">
        <f>VLOOKUP(ship_type,fitgoodunderway,2,FALSE)</f>
        <v>3</v>
      </c>
      <c r="D11" s="265" t="b">
        <v>0</v>
      </c>
      <c r="E11" s="81">
        <f>E9*0.75</f>
        <v>7.5</v>
      </c>
      <c r="F11" s="184">
        <f t="shared" si="0"/>
        <v>0</v>
      </c>
      <c r="G11" s="317"/>
      <c r="I11">
        <f t="shared" si="1"/>
        <v>0</v>
      </c>
      <c r="J11">
        <f>SUM(I9:I11)</f>
        <v>0</v>
      </c>
    </row>
    <row r="12" spans="1:10" ht="15.75" customHeight="1" x14ac:dyDescent="0.35">
      <c r="A12" s="160" t="s">
        <v>426</v>
      </c>
      <c r="B12" s="278" t="s">
        <v>166</v>
      </c>
      <c r="C12" s="362">
        <f>VLOOKUP(ship_type,fitbestunderway,3,FALSE)</f>
        <v>1</v>
      </c>
      <c r="D12" s="265" t="b">
        <v>0</v>
      </c>
      <c r="E12" s="81">
        <v>10</v>
      </c>
      <c r="F12" s="184">
        <f t="shared" si="0"/>
        <v>0</v>
      </c>
      <c r="G12" s="317"/>
      <c r="I12">
        <f>IF(D12,1,0)</f>
        <v>0</v>
      </c>
    </row>
    <row r="13" spans="1:10" ht="15.75" customHeight="1" x14ac:dyDescent="0.35">
      <c r="A13" s="169"/>
      <c r="B13" s="172"/>
      <c r="C13" s="362" t="str">
        <f>VLOOKUP(ship_type,fitbetterunderway,3,FALSE)</f>
        <v>-</v>
      </c>
      <c r="D13" s="265" t="b">
        <v>0</v>
      </c>
      <c r="E13" s="81">
        <f t="shared" ref="E13" si="2">0.85*E12</f>
        <v>8.5</v>
      </c>
      <c r="F13" s="184">
        <f t="shared" si="0"/>
        <v>0</v>
      </c>
      <c r="G13" s="317"/>
      <c r="H13" t="str">
        <f>IF(J14&gt;1,"Entry error, select one answer","")</f>
        <v/>
      </c>
      <c r="I13">
        <f t="shared" si="1"/>
        <v>0</v>
      </c>
    </row>
    <row r="14" spans="1:10" ht="15.75" customHeight="1" x14ac:dyDescent="0.35">
      <c r="A14" s="169"/>
      <c r="B14" s="246"/>
      <c r="C14" s="361" t="str">
        <f>VLOOKUP(ship_type,fitgoodunderway,3,FALSE)</f>
        <v>-</v>
      </c>
      <c r="D14" s="265" t="b">
        <v>0</v>
      </c>
      <c r="E14" s="81">
        <f t="shared" ref="E14" si="3">E12*0.75</f>
        <v>7.5</v>
      </c>
      <c r="F14" s="184">
        <f t="shared" si="0"/>
        <v>0</v>
      </c>
      <c r="G14" s="317"/>
      <c r="I14">
        <f t="shared" si="1"/>
        <v>0</v>
      </c>
      <c r="J14">
        <f>SUM(I12:I14)</f>
        <v>0</v>
      </c>
    </row>
    <row r="15" spans="1:10" ht="15.75" customHeight="1" x14ac:dyDescent="0.35">
      <c r="A15" s="160" t="s">
        <v>427</v>
      </c>
      <c r="B15" s="278" t="s">
        <v>97</v>
      </c>
      <c r="C15" s="362">
        <f>VLOOKUP(ship_type,fitbestunderway,4,FALSE)</f>
        <v>4</v>
      </c>
      <c r="D15" s="265" t="b">
        <v>0</v>
      </c>
      <c r="E15" s="81">
        <v>10</v>
      </c>
      <c r="F15" s="184">
        <f t="shared" si="0"/>
        <v>0</v>
      </c>
      <c r="G15" s="317"/>
      <c r="I15">
        <f>IF(D15,1,0)</f>
        <v>0</v>
      </c>
    </row>
    <row r="16" spans="1:10" ht="15.75" customHeight="1" x14ac:dyDescent="0.35">
      <c r="A16" s="169"/>
      <c r="B16" s="172"/>
      <c r="C16" s="362">
        <f>VLOOKUP(ship_type,fitbetterunderway,4,FALSE)</f>
        <v>3</v>
      </c>
      <c r="D16" s="265" t="b">
        <v>0</v>
      </c>
      <c r="E16" s="81">
        <f t="shared" ref="E16" si="4">0.85*E15</f>
        <v>8.5</v>
      </c>
      <c r="F16" s="184">
        <f t="shared" si="0"/>
        <v>0</v>
      </c>
      <c r="G16" s="317"/>
      <c r="H16" t="str">
        <f>IF(J17&gt;1,"Entry error, select one answer","")</f>
        <v/>
      </c>
      <c r="I16">
        <f t="shared" si="1"/>
        <v>0</v>
      </c>
    </row>
    <row r="17" spans="1:18" ht="15.75" customHeight="1" x14ac:dyDescent="0.35">
      <c r="A17" s="169"/>
      <c r="B17" s="246"/>
      <c r="C17" s="361">
        <f>VLOOKUP(ship_type,fitgoodunderway,4,FALSE)</f>
        <v>1</v>
      </c>
      <c r="D17" s="265" t="b">
        <v>0</v>
      </c>
      <c r="E17" s="81">
        <f t="shared" ref="E17" si="5">E15*0.75</f>
        <v>7.5</v>
      </c>
      <c r="F17" s="184">
        <f t="shared" si="0"/>
        <v>0</v>
      </c>
      <c r="G17" s="317"/>
      <c r="I17">
        <f t="shared" si="1"/>
        <v>0</v>
      </c>
      <c r="J17">
        <f>SUM(I15:I17)</f>
        <v>0</v>
      </c>
    </row>
    <row r="18" spans="1:18" ht="15.75" customHeight="1" x14ac:dyDescent="0.35">
      <c r="A18" s="160" t="s">
        <v>428</v>
      </c>
      <c r="B18" s="278" t="s">
        <v>79</v>
      </c>
      <c r="C18" s="362">
        <f>VLOOKUP(ship_type,fitbestunderway,5,FALSE)</f>
        <v>90</v>
      </c>
      <c r="D18" s="265" t="b">
        <v>0</v>
      </c>
      <c r="E18" s="81">
        <v>10</v>
      </c>
      <c r="F18" s="184">
        <f t="shared" si="0"/>
        <v>0</v>
      </c>
      <c r="G18" s="317"/>
      <c r="I18">
        <f>IF(D18,1,0)</f>
        <v>0</v>
      </c>
    </row>
    <row r="19" spans="1:18" ht="15.75" customHeight="1" x14ac:dyDescent="0.35">
      <c r="A19" s="267"/>
      <c r="B19" s="275"/>
      <c r="C19" s="360">
        <f>VLOOKUP(ship_type,fitbetterunderway,5,FALSE)</f>
        <v>70</v>
      </c>
      <c r="D19" s="265" t="b">
        <v>0</v>
      </c>
      <c r="E19" s="81">
        <f t="shared" ref="E19" si="6">0.85*E18</f>
        <v>8.5</v>
      </c>
      <c r="F19" s="184">
        <f t="shared" si="0"/>
        <v>0</v>
      </c>
      <c r="G19" s="317"/>
      <c r="H19" t="str">
        <f>IF(J20&gt;1,"Entry error, select one answer","")</f>
        <v/>
      </c>
      <c r="I19">
        <f t="shared" si="1"/>
        <v>0</v>
      </c>
    </row>
    <row r="20" spans="1:18" ht="15.75" customHeight="1" thickBot="1" x14ac:dyDescent="0.4">
      <c r="A20" s="267"/>
      <c r="B20" s="246"/>
      <c r="C20" s="361">
        <f>VLOOKUP(ship_type,fitgoodunderway,5,FALSE)</f>
        <v>50</v>
      </c>
      <c r="D20" s="265" t="b">
        <v>0</v>
      </c>
      <c r="E20" s="81">
        <f t="shared" ref="E20" si="7">E18*0.75</f>
        <v>7.5</v>
      </c>
      <c r="F20" s="184">
        <f t="shared" si="0"/>
        <v>0</v>
      </c>
      <c r="G20" s="317"/>
      <c r="I20">
        <f t="shared" si="1"/>
        <v>0</v>
      </c>
      <c r="J20">
        <f>SUM(I18:I20)</f>
        <v>0</v>
      </c>
    </row>
    <row r="21" spans="1:18" ht="17.25" customHeight="1" thickTop="1" thickBot="1" x14ac:dyDescent="0.4">
      <c r="A21" s="390"/>
      <c r="B21" s="391"/>
      <c r="C21" s="391"/>
      <c r="D21" s="392"/>
      <c r="E21" s="81"/>
      <c r="G21" s="480"/>
      <c r="H21" s="174"/>
      <c r="I21" s="229"/>
      <c r="J21" s="229"/>
      <c r="K21" s="174"/>
      <c r="L21" s="174"/>
      <c r="M21" s="174"/>
      <c r="N21" s="174"/>
      <c r="O21" s="174"/>
      <c r="P21" s="174"/>
      <c r="Q21" s="174"/>
      <c r="R21" s="174"/>
    </row>
    <row r="22" spans="1:18" ht="22.5" customHeight="1" thickBot="1" x14ac:dyDescent="0.4">
      <c r="A22" s="160"/>
      <c r="B22" s="613" t="s">
        <v>275</v>
      </c>
      <c r="C22" s="613"/>
      <c r="D22" s="252">
        <f>F22/E22</f>
        <v>0</v>
      </c>
      <c r="E22" s="81">
        <f>IF(shiptypenum&lt;5,SUM(#REF!+E18+E15+E12+E9),SUM(E18+E15+E12+E9))</f>
        <v>40</v>
      </c>
      <c r="F22" s="184">
        <f>SUM(F9:F20)</f>
        <v>0</v>
      </c>
      <c r="G22" s="480"/>
      <c r="H22" s="174"/>
      <c r="I22" s="229"/>
      <c r="J22" s="229"/>
      <c r="K22" s="174"/>
      <c r="L22" s="174"/>
      <c r="M22" s="174"/>
      <c r="N22" s="174"/>
      <c r="O22" s="174"/>
      <c r="P22" s="174"/>
      <c r="Q22" s="174"/>
      <c r="R22" s="174"/>
    </row>
    <row r="23" spans="1:18" ht="22.5" customHeight="1" thickBot="1" x14ac:dyDescent="0.4">
      <c r="A23" s="160"/>
      <c r="B23" s="268"/>
      <c r="C23" s="268"/>
      <c r="D23" s="276"/>
      <c r="E23" s="25"/>
      <c r="G23" s="480"/>
      <c r="H23" s="174"/>
      <c r="I23" s="229"/>
      <c r="J23" s="229"/>
      <c r="K23" s="174"/>
      <c r="L23" s="174"/>
      <c r="M23" s="174"/>
      <c r="N23" s="174"/>
      <c r="O23" s="174"/>
      <c r="P23" s="174"/>
      <c r="Q23" s="174"/>
      <c r="R23" s="174"/>
    </row>
    <row r="24" spans="1:18" ht="94.5" customHeight="1" thickTop="1" thickBot="1" x14ac:dyDescent="0.4">
      <c r="A24" s="257" t="s">
        <v>172</v>
      </c>
      <c r="B24" s="610" t="s">
        <v>286</v>
      </c>
      <c r="C24" s="611"/>
      <c r="D24" s="462" t="s">
        <v>26</v>
      </c>
      <c r="E24" s="562" t="s">
        <v>24</v>
      </c>
      <c r="F24" s="184" t="s">
        <v>25</v>
      </c>
      <c r="G24" s="317"/>
    </row>
    <row r="25" spans="1:18" ht="82.5" customHeight="1" thickTop="1" thickBot="1" x14ac:dyDescent="0.4">
      <c r="A25" s="267"/>
      <c r="B25" s="595" t="s">
        <v>463</v>
      </c>
      <c r="C25" s="620"/>
      <c r="D25" s="454" t="s">
        <v>267</v>
      </c>
      <c r="E25" s="165"/>
      <c r="G25" s="466"/>
    </row>
    <row r="26" spans="1:18" x14ac:dyDescent="0.35">
      <c r="A26" s="160" t="s">
        <v>429</v>
      </c>
      <c r="B26" s="195" t="s">
        <v>165</v>
      </c>
      <c r="C26" s="360">
        <f>VLOOKUP(ship_type,fitbesthomeport,2,FALSE)</f>
        <v>4</v>
      </c>
      <c r="D26" s="265" t="b">
        <v>0</v>
      </c>
      <c r="E26" s="81">
        <v>10</v>
      </c>
      <c r="F26" s="184">
        <f>IF(D26,IF(C26="-",0,E26),0)</f>
        <v>0</v>
      </c>
      <c r="G26" s="317"/>
      <c r="I26">
        <f>IF(D26,1,0)</f>
        <v>0</v>
      </c>
    </row>
    <row r="27" spans="1:18" ht="15.75" customHeight="1" x14ac:dyDescent="0.35">
      <c r="A27" s="160"/>
      <c r="B27" s="58"/>
      <c r="C27" s="360">
        <f>VLOOKUP(ship_type,fitbetterhomeport,2,FALSE)</f>
        <v>3</v>
      </c>
      <c r="D27" s="265" t="b">
        <v>0</v>
      </c>
      <c r="E27" s="81">
        <f>0.85*E26</f>
        <v>8.5</v>
      </c>
      <c r="F27" s="184">
        <f t="shared" ref="F27:F40" si="8">IF(D27,IF(C27="-",0,E27),0)</f>
        <v>0</v>
      </c>
      <c r="G27" s="317"/>
      <c r="H27" t="str">
        <f>IF(J28&gt;1,"Entry error, select one answer","")</f>
        <v/>
      </c>
      <c r="I27">
        <f t="shared" ref="I27:I28" si="9">IF(D27,1,0)</f>
        <v>0</v>
      </c>
    </row>
    <row r="28" spans="1:18" ht="15.75" customHeight="1" x14ac:dyDescent="0.35">
      <c r="A28" s="160"/>
      <c r="B28" s="256"/>
      <c r="C28" s="361">
        <f>VLOOKUP(ship_type,fitgoodhomeport,2,FALSE)</f>
        <v>2</v>
      </c>
      <c r="D28" s="265" t="b">
        <v>0</v>
      </c>
      <c r="E28" s="81">
        <f>E26*0.75</f>
        <v>7.5</v>
      </c>
      <c r="F28" s="184">
        <f t="shared" si="8"/>
        <v>0</v>
      </c>
      <c r="G28" s="317"/>
      <c r="I28">
        <f t="shared" si="9"/>
        <v>0</v>
      </c>
      <c r="J28">
        <f>SUM(I26:I28)</f>
        <v>0</v>
      </c>
    </row>
    <row r="29" spans="1:18" ht="15.75" customHeight="1" x14ac:dyDescent="0.35">
      <c r="A29" s="160" t="s">
        <v>430</v>
      </c>
      <c r="B29" s="195" t="s">
        <v>166</v>
      </c>
      <c r="C29" s="362">
        <f>VLOOKUP(ship_type,fitbesthomeport,3,FALSE)</f>
        <v>1</v>
      </c>
      <c r="D29" s="265" t="b">
        <v>0</v>
      </c>
      <c r="E29" s="81">
        <v>10</v>
      </c>
      <c r="F29" s="184">
        <f t="shared" si="8"/>
        <v>0</v>
      </c>
      <c r="G29" s="317"/>
      <c r="I29">
        <f>IF(D29,1,0)</f>
        <v>0</v>
      </c>
    </row>
    <row r="30" spans="1:18" ht="15.75" customHeight="1" x14ac:dyDescent="0.35">
      <c r="A30" s="169"/>
      <c r="B30" s="172"/>
      <c r="C30" s="362" t="str">
        <f>VLOOKUP(ship_type,fitbetterhomeport,3,FALSE)</f>
        <v>-</v>
      </c>
      <c r="D30" s="265" t="b">
        <v>0</v>
      </c>
      <c r="E30" s="81">
        <f t="shared" ref="E30" si="10">0.85*E29</f>
        <v>8.5</v>
      </c>
      <c r="F30" s="184">
        <f t="shared" si="8"/>
        <v>0</v>
      </c>
      <c r="G30" s="317"/>
      <c r="H30" t="str">
        <f>IF(J31&gt;1,"Entry error, select one answer","")</f>
        <v/>
      </c>
      <c r="I30">
        <f t="shared" ref="I30:I31" si="11">IF(D30,1,0)</f>
        <v>0</v>
      </c>
    </row>
    <row r="31" spans="1:18" ht="15.75" customHeight="1" x14ac:dyDescent="0.35">
      <c r="A31" s="169"/>
      <c r="B31" s="246"/>
      <c r="C31" s="361" t="str">
        <f>VLOOKUP(ship_type,fitgoodhomeport,3,FALSE)</f>
        <v>-</v>
      </c>
      <c r="D31" s="265" t="b">
        <v>0</v>
      </c>
      <c r="E31" s="81">
        <f t="shared" ref="E31" si="12">E29*0.75</f>
        <v>7.5</v>
      </c>
      <c r="F31" s="184">
        <f t="shared" si="8"/>
        <v>0</v>
      </c>
      <c r="G31" s="317"/>
      <c r="I31">
        <f t="shared" si="11"/>
        <v>0</v>
      </c>
      <c r="J31">
        <f>SUM(I29:I31)</f>
        <v>0</v>
      </c>
    </row>
    <row r="32" spans="1:18" ht="15.75" customHeight="1" x14ac:dyDescent="0.35">
      <c r="A32" s="160" t="s">
        <v>431</v>
      </c>
      <c r="B32" s="195" t="s">
        <v>97</v>
      </c>
      <c r="C32" s="362">
        <f>VLOOKUP(ship_type,fitbesthomeport,4,FALSE)</f>
        <v>6</v>
      </c>
      <c r="D32" s="265" t="b">
        <v>0</v>
      </c>
      <c r="E32" s="81">
        <v>10</v>
      </c>
      <c r="F32" s="184">
        <f t="shared" si="8"/>
        <v>0</v>
      </c>
      <c r="G32" s="317"/>
      <c r="I32">
        <f>IF(D32,1,0)</f>
        <v>0</v>
      </c>
    </row>
    <row r="33" spans="1:18" ht="15.75" customHeight="1" x14ac:dyDescent="0.35">
      <c r="A33" s="169"/>
      <c r="B33" s="170"/>
      <c r="C33" s="362">
        <f>VLOOKUP(ship_type,fitbetterhomeport,4,FALSE)</f>
        <v>4</v>
      </c>
      <c r="D33" s="265" t="b">
        <v>0</v>
      </c>
      <c r="E33" s="81">
        <f t="shared" ref="E33" si="13">0.85*E32</f>
        <v>8.5</v>
      </c>
      <c r="F33" s="184">
        <f t="shared" si="8"/>
        <v>0</v>
      </c>
      <c r="G33" s="317"/>
      <c r="H33" t="str">
        <f>IF(J34&gt;1,"Entry error, select one answer","")</f>
        <v/>
      </c>
      <c r="I33">
        <f t="shared" ref="I33:I34" si="14">IF(D33,1,0)</f>
        <v>0</v>
      </c>
    </row>
    <row r="34" spans="1:18" ht="15.75" customHeight="1" x14ac:dyDescent="0.35">
      <c r="A34" s="169"/>
      <c r="B34" s="246"/>
      <c r="C34" s="361">
        <f>VLOOKUP(ship_type,fitgoodhomeport,4,FALSE)</f>
        <v>1</v>
      </c>
      <c r="D34" s="265" t="b">
        <v>0</v>
      </c>
      <c r="E34" s="81">
        <f t="shared" ref="E34" si="15">E32*0.75</f>
        <v>7.5</v>
      </c>
      <c r="F34" s="184">
        <f t="shared" si="8"/>
        <v>0</v>
      </c>
      <c r="G34" s="317"/>
      <c r="I34">
        <f t="shared" si="14"/>
        <v>0</v>
      </c>
      <c r="J34">
        <f>SUM(I32:I34)</f>
        <v>0</v>
      </c>
    </row>
    <row r="35" spans="1:18" ht="15.75" customHeight="1" x14ac:dyDescent="0.35">
      <c r="A35" s="160" t="s">
        <v>432</v>
      </c>
      <c r="B35" s="195" t="s">
        <v>79</v>
      </c>
      <c r="C35" s="362">
        <f>VLOOKUP(ship_type,fitbesthomeport,5,FALSE)</f>
        <v>30</v>
      </c>
      <c r="D35" s="265" t="b">
        <v>0</v>
      </c>
      <c r="E35" s="81">
        <v>10</v>
      </c>
      <c r="F35" s="184">
        <f t="shared" si="8"/>
        <v>0</v>
      </c>
      <c r="G35" s="317"/>
      <c r="I35">
        <f>IF(D35,1,0)</f>
        <v>0</v>
      </c>
    </row>
    <row r="36" spans="1:18" ht="15.75" customHeight="1" x14ac:dyDescent="0.35">
      <c r="A36" s="267"/>
      <c r="B36" s="171"/>
      <c r="C36" s="360">
        <f>VLOOKUP(ship_type,fitbetterhomeport,5,FALSE)</f>
        <v>25</v>
      </c>
      <c r="D36" s="265" t="b">
        <v>0</v>
      </c>
      <c r="E36" s="81">
        <f t="shared" ref="E36" si="16">0.85*E35</f>
        <v>8.5</v>
      </c>
      <c r="F36" s="184">
        <f t="shared" si="8"/>
        <v>0</v>
      </c>
      <c r="G36" s="317"/>
      <c r="H36" t="str">
        <f>IF(J37&gt;1,"Entry error, select one answer","")</f>
        <v/>
      </c>
      <c r="I36">
        <f t="shared" ref="I36:I37" si="17">IF(D36,1,0)</f>
        <v>0</v>
      </c>
    </row>
    <row r="37" spans="1:18" ht="15.75" customHeight="1" x14ac:dyDescent="0.35">
      <c r="A37" s="267"/>
      <c r="B37" s="246"/>
      <c r="C37" s="361">
        <f>VLOOKUP(ship_type,fitgoodhomeport,5,FALSE)</f>
        <v>20</v>
      </c>
      <c r="D37" s="265" t="b">
        <v>0</v>
      </c>
      <c r="E37" s="81">
        <f t="shared" ref="E37" si="18">E35*0.75</f>
        <v>7.5</v>
      </c>
      <c r="F37" s="184">
        <f t="shared" si="8"/>
        <v>0</v>
      </c>
      <c r="G37" s="317"/>
      <c r="I37">
        <f t="shared" si="17"/>
        <v>0</v>
      </c>
      <c r="J37">
        <f>SUM(I35:I37)</f>
        <v>0</v>
      </c>
    </row>
    <row r="38" spans="1:18" x14ac:dyDescent="0.35">
      <c r="A38" s="160" t="s">
        <v>433</v>
      </c>
      <c r="B38" s="195" t="s">
        <v>176</v>
      </c>
      <c r="C38" s="271" t="s">
        <v>177</v>
      </c>
      <c r="D38" s="265" t="b">
        <v>0</v>
      </c>
      <c r="E38" s="81">
        <v>10</v>
      </c>
      <c r="F38" s="184">
        <f t="shared" si="8"/>
        <v>0</v>
      </c>
      <c r="G38" s="317"/>
      <c r="I38">
        <f>IF(D38,1,0)</f>
        <v>0</v>
      </c>
    </row>
    <row r="39" spans="1:18" x14ac:dyDescent="0.35">
      <c r="A39" s="267"/>
      <c r="B39" s="173"/>
      <c r="C39" s="185" t="s">
        <v>178</v>
      </c>
      <c r="D39" s="265" t="b">
        <v>0</v>
      </c>
      <c r="E39" s="81">
        <f t="shared" ref="E39" si="19">0.85*E38</f>
        <v>8.5</v>
      </c>
      <c r="F39" s="184">
        <f t="shared" si="8"/>
        <v>0</v>
      </c>
      <c r="G39" s="317"/>
      <c r="H39" t="str">
        <f>IF(J40&gt;1,"Entry error, select one answer","")</f>
        <v/>
      </c>
      <c r="I39">
        <f t="shared" ref="I39:I40" si="20">IF(D39,1,0)</f>
        <v>0</v>
      </c>
    </row>
    <row r="40" spans="1:18" ht="16" thickBot="1" x14ac:dyDescent="0.4">
      <c r="A40" s="267"/>
      <c r="B40" s="171"/>
      <c r="C40" s="185" t="s">
        <v>179</v>
      </c>
      <c r="D40" s="395" t="b">
        <v>0</v>
      </c>
      <c r="E40" s="81">
        <f t="shared" ref="E40" si="21">E38*0.75</f>
        <v>7.5</v>
      </c>
      <c r="F40" s="184">
        <f t="shared" si="8"/>
        <v>0</v>
      </c>
      <c r="G40" s="317"/>
      <c r="I40">
        <f t="shared" si="20"/>
        <v>0</v>
      </c>
      <c r="J40">
        <f>SUM(I38:I40)</f>
        <v>0</v>
      </c>
    </row>
    <row r="41" spans="1:18" ht="17.25" customHeight="1" thickTop="1" thickBot="1" x14ac:dyDescent="0.4">
      <c r="A41" s="390"/>
      <c r="B41" s="391"/>
      <c r="C41" s="391"/>
      <c r="D41" s="392"/>
      <c r="E41" s="81"/>
      <c r="G41" s="480"/>
      <c r="H41" s="174"/>
      <c r="I41" s="229"/>
      <c r="J41" s="229"/>
      <c r="K41" s="174"/>
      <c r="L41" s="174"/>
      <c r="M41" s="174"/>
      <c r="N41" s="174"/>
      <c r="O41" s="174"/>
      <c r="P41" s="174"/>
      <c r="Q41" s="174"/>
      <c r="R41" s="174"/>
    </row>
    <row r="42" spans="1:18" ht="22.5" customHeight="1" thickBot="1" x14ac:dyDescent="0.4">
      <c r="A42" s="160"/>
      <c r="B42" s="613" t="s">
        <v>275</v>
      </c>
      <c r="C42" s="613"/>
      <c r="D42" s="252">
        <f>F42/E42</f>
        <v>0</v>
      </c>
      <c r="E42" s="81">
        <f>E38+E35+E32+E29+E26</f>
        <v>50</v>
      </c>
      <c r="F42" s="184">
        <f>SUM(F26:F40)</f>
        <v>0</v>
      </c>
      <c r="G42" s="480"/>
      <c r="H42" s="174"/>
      <c r="I42" s="229"/>
      <c r="J42" s="229"/>
      <c r="K42" s="174"/>
      <c r="L42" s="174"/>
      <c r="M42" s="174"/>
      <c r="N42" s="174"/>
      <c r="O42" s="174"/>
      <c r="P42" s="174"/>
      <c r="Q42" s="174"/>
      <c r="R42" s="174"/>
    </row>
    <row r="43" spans="1:18" ht="22.5" customHeight="1" thickBot="1" x14ac:dyDescent="0.4">
      <c r="A43" s="160"/>
      <c r="B43" s="268"/>
      <c r="C43" s="268"/>
      <c r="D43" s="276"/>
      <c r="E43" s="25"/>
      <c r="G43" s="480"/>
      <c r="H43" s="174"/>
      <c r="I43" s="229"/>
      <c r="J43" s="229"/>
      <c r="K43" s="174"/>
      <c r="L43" s="174"/>
      <c r="M43" s="174"/>
      <c r="N43" s="174"/>
      <c r="O43" s="174"/>
      <c r="P43" s="174"/>
      <c r="Q43" s="174"/>
      <c r="R43" s="174"/>
    </row>
    <row r="44" spans="1:18" ht="94.5" customHeight="1" thickTop="1" thickBot="1" x14ac:dyDescent="0.4">
      <c r="A44" s="257" t="s">
        <v>173</v>
      </c>
      <c r="B44" s="610" t="s">
        <v>286</v>
      </c>
      <c r="C44" s="611"/>
      <c r="D44" s="462" t="s">
        <v>26</v>
      </c>
      <c r="E44" s="562" t="s">
        <v>24</v>
      </c>
      <c r="F44" s="184" t="s">
        <v>25</v>
      </c>
      <c r="G44" s="317"/>
    </row>
    <row r="45" spans="1:18" ht="78.75" customHeight="1" thickTop="1" thickBot="1" x14ac:dyDescent="0.4">
      <c r="A45" s="280"/>
      <c r="B45" s="595" t="s">
        <v>463</v>
      </c>
      <c r="C45" s="620"/>
      <c r="D45" s="454" t="s">
        <v>267</v>
      </c>
      <c r="E45" s="165"/>
      <c r="G45" s="466"/>
    </row>
    <row r="46" spans="1:18" x14ac:dyDescent="0.35">
      <c r="A46" s="160" t="s">
        <v>434</v>
      </c>
      <c r="B46" s="270" t="s">
        <v>165</v>
      </c>
      <c r="C46" s="360">
        <f>VLOOKUP(ship_type,fitbestshipyard,2,FALSE)</f>
        <v>2</v>
      </c>
      <c r="D46" s="265" t="b">
        <v>0</v>
      </c>
      <c r="E46" s="81">
        <v>10</v>
      </c>
      <c r="F46" s="184">
        <f>IF(D46,IF(C46="-",0,E46),0)</f>
        <v>0</v>
      </c>
      <c r="G46" s="317"/>
      <c r="I46">
        <f>IF(D46,1,0)</f>
        <v>0</v>
      </c>
    </row>
    <row r="47" spans="1:18" ht="15.75" customHeight="1" x14ac:dyDescent="0.35">
      <c r="A47" s="160"/>
      <c r="B47" s="58"/>
      <c r="C47" s="360">
        <f>VLOOKUP(ship_type,fitbettershipyard,2,FALSE)</f>
        <v>1</v>
      </c>
      <c r="D47" s="265" t="b">
        <v>0</v>
      </c>
      <c r="E47" s="81">
        <f>0.85*E46</f>
        <v>8.5</v>
      </c>
      <c r="F47" s="184">
        <f t="shared" ref="F47:F60" si="22">IF(D47,IF(C47="-",0,E47),0)</f>
        <v>0</v>
      </c>
      <c r="G47" s="317"/>
      <c r="H47" t="str">
        <f>IF(J48&gt;1,"Entry error, select one answer","")</f>
        <v/>
      </c>
      <c r="I47">
        <f t="shared" ref="I47:I48" si="23">IF(D47,1,0)</f>
        <v>0</v>
      </c>
    </row>
    <row r="48" spans="1:18" ht="15.75" customHeight="1" x14ac:dyDescent="0.35">
      <c r="A48" s="160"/>
      <c r="B48" s="256"/>
      <c r="C48" s="361" t="str">
        <f>VLOOKUP(ship_type,fitgoodshipyard,2,FALSE)</f>
        <v>-</v>
      </c>
      <c r="D48" s="265" t="b">
        <v>0</v>
      </c>
      <c r="E48" s="81">
        <f>E46*0.75</f>
        <v>7.5</v>
      </c>
      <c r="F48" s="184">
        <f t="shared" si="22"/>
        <v>0</v>
      </c>
      <c r="G48" s="317"/>
      <c r="I48">
        <f t="shared" si="23"/>
        <v>0</v>
      </c>
      <c r="J48">
        <f>SUM(I46:I48)</f>
        <v>0</v>
      </c>
    </row>
    <row r="49" spans="1:10" ht="15.75" customHeight="1" x14ac:dyDescent="0.35">
      <c r="A49" s="160" t="s">
        <v>435</v>
      </c>
      <c r="B49" s="195" t="s">
        <v>166</v>
      </c>
      <c r="C49" s="362">
        <f>VLOOKUP(ship_type,fitbestshipyard,3,FALSE)</f>
        <v>2</v>
      </c>
      <c r="D49" s="265" t="b">
        <v>0</v>
      </c>
      <c r="E49" s="81">
        <v>10</v>
      </c>
      <c r="F49" s="184">
        <f t="shared" si="22"/>
        <v>0</v>
      </c>
      <c r="G49" s="317"/>
      <c r="I49">
        <f>IF(D49,1,0)</f>
        <v>0</v>
      </c>
    </row>
    <row r="50" spans="1:10" ht="15.75" customHeight="1" x14ac:dyDescent="0.35">
      <c r="A50" s="169"/>
      <c r="B50" s="172"/>
      <c r="C50" s="362">
        <f>VLOOKUP(ship_type,fitbettershipyard,3,FALSE)</f>
        <v>1</v>
      </c>
      <c r="D50" s="265" t="b">
        <v>0</v>
      </c>
      <c r="E50" s="81">
        <f t="shared" ref="E50" si="24">0.85*E49</f>
        <v>8.5</v>
      </c>
      <c r="F50" s="184">
        <f t="shared" si="22"/>
        <v>0</v>
      </c>
      <c r="G50" s="317"/>
      <c r="H50" t="str">
        <f>IF(J51&gt;1,"Entry error, select one answer","")</f>
        <v/>
      </c>
      <c r="I50">
        <f t="shared" ref="I50:I51" si="25">IF(D50,1,0)</f>
        <v>0</v>
      </c>
    </row>
    <row r="51" spans="1:10" ht="15.75" customHeight="1" x14ac:dyDescent="0.35">
      <c r="A51" s="169"/>
      <c r="B51" s="246"/>
      <c r="C51" s="361" t="str">
        <f>VLOOKUP(ship_type,fitgoodshipyard,3,FALSE)</f>
        <v>-</v>
      </c>
      <c r="D51" s="265" t="b">
        <v>0</v>
      </c>
      <c r="E51" s="81">
        <f t="shared" ref="E51" si="26">E49*0.75</f>
        <v>7.5</v>
      </c>
      <c r="F51" s="184">
        <f t="shared" si="22"/>
        <v>0</v>
      </c>
      <c r="G51" s="317"/>
      <c r="I51">
        <f t="shared" si="25"/>
        <v>0</v>
      </c>
      <c r="J51">
        <f>SUM(I49:I51)</f>
        <v>0</v>
      </c>
    </row>
    <row r="52" spans="1:10" ht="15.75" customHeight="1" x14ac:dyDescent="0.35">
      <c r="A52" s="160" t="s">
        <v>436</v>
      </c>
      <c r="B52" s="195" t="s">
        <v>97</v>
      </c>
      <c r="C52" s="362">
        <f>VLOOKUP(ship_type,fitbestshipyard,4,FALSE)</f>
        <v>3</v>
      </c>
      <c r="D52" s="265" t="b">
        <v>0</v>
      </c>
      <c r="E52" s="81">
        <v>10</v>
      </c>
      <c r="F52" s="184">
        <f t="shared" si="22"/>
        <v>0</v>
      </c>
      <c r="G52" s="317"/>
      <c r="I52">
        <f>IF(D52,1,0)</f>
        <v>0</v>
      </c>
    </row>
    <row r="53" spans="1:10" ht="15.75" customHeight="1" x14ac:dyDescent="0.35">
      <c r="A53" s="169"/>
      <c r="B53" s="170"/>
      <c r="C53" s="362">
        <f>VLOOKUP(ship_type,fitbettershipyard,4,FALSE)</f>
        <v>2</v>
      </c>
      <c r="D53" s="265" t="b">
        <v>0</v>
      </c>
      <c r="E53" s="81">
        <f t="shared" ref="E53" si="27">0.85*E52</f>
        <v>8.5</v>
      </c>
      <c r="F53" s="184">
        <f t="shared" si="22"/>
        <v>0</v>
      </c>
      <c r="G53" s="317"/>
      <c r="H53" t="str">
        <f>IF(J54&gt;1,"Entry error, select one answer","")</f>
        <v/>
      </c>
      <c r="I53">
        <f t="shared" ref="I53:I54" si="28">IF(D53,1,0)</f>
        <v>0</v>
      </c>
    </row>
    <row r="54" spans="1:10" ht="15.75" customHeight="1" x14ac:dyDescent="0.35">
      <c r="A54" s="169"/>
      <c r="B54" s="246"/>
      <c r="C54" s="361">
        <f>VLOOKUP(ship_type,fitgoodshipyard,4,FALSE)</f>
        <v>1</v>
      </c>
      <c r="D54" s="265" t="b">
        <v>0</v>
      </c>
      <c r="E54" s="81">
        <f t="shared" ref="E54" si="29">E52*0.75</f>
        <v>7.5</v>
      </c>
      <c r="F54" s="184">
        <f t="shared" si="22"/>
        <v>0</v>
      </c>
      <c r="G54" s="317"/>
      <c r="I54">
        <f t="shared" si="28"/>
        <v>0</v>
      </c>
      <c r="J54">
        <f>SUM(I52:I54)</f>
        <v>0</v>
      </c>
    </row>
    <row r="55" spans="1:10" ht="15.75" customHeight="1" x14ac:dyDescent="0.35">
      <c r="A55" s="160" t="s">
        <v>437</v>
      </c>
      <c r="B55" s="195" t="s">
        <v>79</v>
      </c>
      <c r="C55" s="362">
        <f>VLOOKUP(ship_type,fitbestshipyard,5,FALSE)</f>
        <v>15</v>
      </c>
      <c r="D55" s="265" t="b">
        <v>0</v>
      </c>
      <c r="E55" s="81">
        <v>10</v>
      </c>
      <c r="F55" s="184">
        <f t="shared" si="22"/>
        <v>0</v>
      </c>
      <c r="G55" s="317"/>
      <c r="I55">
        <f>IF(D55,1,0)</f>
        <v>0</v>
      </c>
    </row>
    <row r="56" spans="1:10" ht="15.75" customHeight="1" x14ac:dyDescent="0.35">
      <c r="A56" s="267"/>
      <c r="B56" s="171"/>
      <c r="C56" s="360">
        <f>VLOOKUP(ship_type,fitbettershipyard,5,FALSE)</f>
        <v>10</v>
      </c>
      <c r="D56" s="265" t="b">
        <v>0</v>
      </c>
      <c r="E56" s="81">
        <f t="shared" ref="E56" si="30">0.85*E55</f>
        <v>8.5</v>
      </c>
      <c r="F56" s="184">
        <f t="shared" si="22"/>
        <v>0</v>
      </c>
      <c r="G56" s="317"/>
      <c r="H56" t="str">
        <f>IF(J57&gt;1,"Entry error, select one answer","")</f>
        <v/>
      </c>
      <c r="I56">
        <f t="shared" ref="I56:I57" si="31">IF(D56,1,0)</f>
        <v>0</v>
      </c>
    </row>
    <row r="57" spans="1:10" ht="15.75" customHeight="1" x14ac:dyDescent="0.35">
      <c r="A57" s="267"/>
      <c r="B57" s="246"/>
      <c r="C57" s="361">
        <f>VLOOKUP(ship_type,fitgoodshipyard,5,FALSE)</f>
        <v>5</v>
      </c>
      <c r="D57" s="265" t="b">
        <v>0</v>
      </c>
      <c r="E57" s="81">
        <f t="shared" ref="E57" si="32">E55*0.75</f>
        <v>7.5</v>
      </c>
      <c r="F57" s="184">
        <f t="shared" si="22"/>
        <v>0</v>
      </c>
      <c r="G57" s="317"/>
      <c r="I57">
        <f t="shared" si="31"/>
        <v>0</v>
      </c>
      <c r="J57">
        <f>SUM(I55:I57)</f>
        <v>0</v>
      </c>
    </row>
    <row r="58" spans="1:10" x14ac:dyDescent="0.35">
      <c r="A58" s="160" t="s">
        <v>438</v>
      </c>
      <c r="B58" s="195" t="s">
        <v>176</v>
      </c>
      <c r="C58" s="185" t="s">
        <v>177</v>
      </c>
      <c r="D58" s="265" t="b">
        <v>0</v>
      </c>
      <c r="E58" s="81">
        <v>10</v>
      </c>
      <c r="F58" s="184">
        <f t="shared" si="22"/>
        <v>0</v>
      </c>
      <c r="G58" s="317"/>
      <c r="I58">
        <f>IF(D58,1,0)</f>
        <v>0</v>
      </c>
    </row>
    <row r="59" spans="1:10" x14ac:dyDescent="0.35">
      <c r="A59" s="267"/>
      <c r="B59" s="173"/>
      <c r="C59" s="185" t="s">
        <v>178</v>
      </c>
      <c r="D59" s="265" t="b">
        <v>0</v>
      </c>
      <c r="E59" s="81">
        <f t="shared" ref="E59" si="33">0.85*E58</f>
        <v>8.5</v>
      </c>
      <c r="F59" s="184">
        <f t="shared" si="22"/>
        <v>0</v>
      </c>
      <c r="G59" s="317"/>
      <c r="H59" t="str">
        <f>IF(J60&gt;1,"Entry error, select one answer","")</f>
        <v/>
      </c>
      <c r="I59">
        <f t="shared" ref="I59:I60" si="34">IF(D59,1,0)</f>
        <v>0</v>
      </c>
    </row>
    <row r="60" spans="1:10" ht="16" thickBot="1" x14ac:dyDescent="0.4">
      <c r="A60" s="267"/>
      <c r="B60" s="171"/>
      <c r="C60" s="185" t="s">
        <v>179</v>
      </c>
      <c r="D60" s="395" t="b">
        <v>0</v>
      </c>
      <c r="E60" s="81">
        <f t="shared" ref="E60" si="35">E58*0.75</f>
        <v>7.5</v>
      </c>
      <c r="F60" s="184">
        <f t="shared" si="22"/>
        <v>0</v>
      </c>
      <c r="G60" s="317"/>
      <c r="I60">
        <f t="shared" si="34"/>
        <v>0</v>
      </c>
      <c r="J60">
        <f>SUM(I58:I60)</f>
        <v>0</v>
      </c>
    </row>
    <row r="61" spans="1:10" ht="16.5" thickTop="1" thickBot="1" x14ac:dyDescent="0.4">
      <c r="A61" s="388"/>
      <c r="B61" s="388"/>
      <c r="C61" s="388"/>
      <c r="D61" s="396"/>
      <c r="G61" s="481"/>
    </row>
    <row r="62" spans="1:10" s="190" customFormat="1" ht="16" thickBot="1" x14ac:dyDescent="0.4">
      <c r="A62" s="181"/>
      <c r="B62" s="623" t="s">
        <v>32</v>
      </c>
      <c r="C62" s="624"/>
      <c r="D62" s="252">
        <f>F62/E62</f>
        <v>0</v>
      </c>
      <c r="E62" s="189">
        <f>E58+E55+E52+E49+E46</f>
        <v>50</v>
      </c>
      <c r="F62" s="189">
        <f>SUM(F46:F60)</f>
        <v>0</v>
      </c>
      <c r="G62" s="482"/>
    </row>
    <row r="63" spans="1:10" s="190" customFormat="1" ht="16.5" customHeight="1" x14ac:dyDescent="0.35">
      <c r="A63" s="181"/>
      <c r="B63" s="175"/>
      <c r="C63" s="40"/>
      <c r="D63" s="40"/>
      <c r="E63" s="189"/>
      <c r="F63" s="189"/>
      <c r="G63" s="482"/>
    </row>
    <row r="64" spans="1:10" s="190" customFormat="1" ht="16" thickBot="1" x14ac:dyDescent="0.4">
      <c r="A64" s="181"/>
      <c r="B64" s="175"/>
      <c r="C64" s="40"/>
      <c r="D64" s="40"/>
      <c r="E64" s="189"/>
      <c r="F64" s="189"/>
      <c r="G64" s="482"/>
    </row>
    <row r="65" spans="1:7" s="190" customFormat="1" ht="96.75" customHeight="1" thickBot="1" x14ac:dyDescent="0.4">
      <c r="A65" s="181"/>
      <c r="B65" s="618" t="s">
        <v>48</v>
      </c>
      <c r="C65" s="621"/>
      <c r="D65" s="622"/>
      <c r="E65" s="189"/>
      <c r="F65" s="189"/>
      <c r="G65" s="482"/>
    </row>
    <row r="66" spans="1:7" x14ac:dyDescent="0.35">
      <c r="G66" s="481"/>
    </row>
    <row r="67" spans="1:7" x14ac:dyDescent="0.35">
      <c r="G67" s="481"/>
    </row>
    <row r="68" spans="1:7" x14ac:dyDescent="0.35">
      <c r="B68" s="612" t="s">
        <v>280</v>
      </c>
      <c r="C68" s="612"/>
      <c r="D68" s="496">
        <f>D62+D42+D22</f>
        <v>0</v>
      </c>
      <c r="G68" s="481"/>
    </row>
    <row r="69" spans="1:7" x14ac:dyDescent="0.35">
      <c r="G69" s="481"/>
    </row>
    <row r="70" spans="1:7" x14ac:dyDescent="0.35">
      <c r="G70" s="481"/>
    </row>
  </sheetData>
  <mergeCells count="14">
    <mergeCell ref="B68:C68"/>
    <mergeCell ref="B65:D65"/>
    <mergeCell ref="B62:C62"/>
    <mergeCell ref="B45:C45"/>
    <mergeCell ref="B44:C44"/>
    <mergeCell ref="B42:C42"/>
    <mergeCell ref="B25:C25"/>
    <mergeCell ref="B22:C22"/>
    <mergeCell ref="B24:C24"/>
    <mergeCell ref="A3:B3"/>
    <mergeCell ref="B7:C7"/>
    <mergeCell ref="B8:C8"/>
    <mergeCell ref="A4:C4"/>
    <mergeCell ref="A5:C5"/>
  </mergeCells>
  <phoneticPr fontId="16" type="noConversion"/>
  <conditionalFormatting sqref="H10">
    <cfRule type="expression" dxfId="21" priority="15">
      <formula>J11&gt;1</formula>
    </cfRule>
  </conditionalFormatting>
  <conditionalFormatting sqref="H13">
    <cfRule type="expression" dxfId="20" priority="14">
      <formula>J14&gt;1</formula>
    </cfRule>
  </conditionalFormatting>
  <conditionalFormatting sqref="H16">
    <cfRule type="expression" dxfId="19" priority="13">
      <formula>J17&gt;1</formula>
    </cfRule>
  </conditionalFormatting>
  <conditionalFormatting sqref="H19">
    <cfRule type="expression" dxfId="18" priority="12">
      <formula>J20&gt;1</formula>
    </cfRule>
  </conditionalFormatting>
  <conditionalFormatting sqref="H27">
    <cfRule type="expression" dxfId="17" priority="10">
      <formula>J28&gt;1</formula>
    </cfRule>
  </conditionalFormatting>
  <conditionalFormatting sqref="H30">
    <cfRule type="expression" dxfId="16" priority="9">
      <formula>J31&gt;1</formula>
    </cfRule>
  </conditionalFormatting>
  <conditionalFormatting sqref="H33">
    <cfRule type="expression" dxfId="15" priority="8">
      <formula>J34&gt;1</formula>
    </cfRule>
  </conditionalFormatting>
  <conditionalFormatting sqref="H36">
    <cfRule type="expression" dxfId="14" priority="7">
      <formula>J37&gt;1</formula>
    </cfRule>
  </conditionalFormatting>
  <conditionalFormatting sqref="H39">
    <cfRule type="expression" dxfId="13" priority="6">
      <formula>J40&gt;1</formula>
    </cfRule>
  </conditionalFormatting>
  <conditionalFormatting sqref="H47">
    <cfRule type="expression" dxfId="12" priority="5">
      <formula>J48&gt;1</formula>
    </cfRule>
  </conditionalFormatting>
  <conditionalFormatting sqref="H50">
    <cfRule type="expression" dxfId="11" priority="4">
      <formula>J51&gt;1</formula>
    </cfRule>
  </conditionalFormatting>
  <conditionalFormatting sqref="H53">
    <cfRule type="expression" dxfId="10" priority="3">
      <formula>J54&gt;1</formula>
    </cfRule>
  </conditionalFormatting>
  <conditionalFormatting sqref="H56">
    <cfRule type="expression" dxfId="9" priority="2">
      <formula>J57&gt;1</formula>
    </cfRule>
  </conditionalFormatting>
  <conditionalFormatting sqref="H59">
    <cfRule type="expression" dxfId="8" priority="1">
      <formula>J60&gt;1</formula>
    </cfRule>
  </conditionalFormatting>
  <pageMargins left="0.7" right="0.7" top="0.75" bottom="0.75" header="0.3" footer="0.3"/>
  <pageSetup scale="55" fitToHeight="10" orientation="portrait" r:id="rId1"/>
  <headerFooter>
    <oddHeader>&amp;LMetric 3.2 
Fitness Programming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3</xdr:col>
                    <xdr:colOff>419100</xdr:colOff>
                    <xdr:row>19</xdr:row>
                    <xdr:rowOff>0</xdr:rowOff>
                  </from>
                  <to>
                    <xdr:col>3</xdr:col>
                    <xdr:colOff>609600</xdr:colOff>
                    <xdr:row>20</xdr:row>
                    <xdr:rowOff>12700</xdr:rowOff>
                  </to>
                </anchor>
              </controlPr>
            </control>
          </mc:Choice>
        </mc:AlternateContent>
        <mc:AlternateContent xmlns:mc="http://schemas.openxmlformats.org/markup-compatibility/2006">
          <mc:Choice Requires="x14">
            <control shapeId="54288" r:id="rId16" name="Check Box 16">
              <controlPr defaultSize="0" autoFill="0" autoLine="0" autoPict="0">
                <anchor moveWithCells="1">
                  <from>
                    <xdr:col>3</xdr:col>
                    <xdr:colOff>419100</xdr:colOff>
                    <xdr:row>25</xdr:row>
                    <xdr:rowOff>0</xdr:rowOff>
                  </from>
                  <to>
                    <xdr:col>3</xdr:col>
                    <xdr:colOff>609600</xdr:colOff>
                    <xdr:row>26</xdr:row>
                    <xdr:rowOff>12700</xdr:rowOff>
                  </to>
                </anchor>
              </controlPr>
            </control>
          </mc:Choice>
        </mc:AlternateContent>
        <mc:AlternateContent xmlns:mc="http://schemas.openxmlformats.org/markup-compatibility/2006">
          <mc:Choice Requires="x14">
            <control shapeId="54289" r:id="rId17" name="Check Box 17">
              <controlPr defaultSize="0" autoFill="0" autoLine="0" autoPict="0">
                <anchor moveWithCells="1">
                  <from>
                    <xdr:col>3</xdr:col>
                    <xdr:colOff>419100</xdr:colOff>
                    <xdr:row>26</xdr:row>
                    <xdr:rowOff>0</xdr:rowOff>
                  </from>
                  <to>
                    <xdr:col>3</xdr:col>
                    <xdr:colOff>609600</xdr:colOff>
                    <xdr:row>27</xdr:row>
                    <xdr:rowOff>12700</xdr:rowOff>
                  </to>
                </anchor>
              </controlPr>
            </control>
          </mc:Choice>
        </mc:AlternateContent>
        <mc:AlternateContent xmlns:mc="http://schemas.openxmlformats.org/markup-compatibility/2006">
          <mc:Choice Requires="x14">
            <control shapeId="54290" r:id="rId18" name="Check Box 18">
              <controlPr defaultSize="0" autoFill="0" autoLine="0" autoPict="0">
                <anchor moveWithCells="1">
                  <from>
                    <xdr:col>3</xdr:col>
                    <xdr:colOff>419100</xdr:colOff>
                    <xdr:row>27</xdr:row>
                    <xdr:rowOff>0</xdr:rowOff>
                  </from>
                  <to>
                    <xdr:col>3</xdr:col>
                    <xdr:colOff>609600</xdr:colOff>
                    <xdr:row>28</xdr:row>
                    <xdr:rowOff>12700</xdr:rowOff>
                  </to>
                </anchor>
              </controlPr>
            </control>
          </mc:Choice>
        </mc:AlternateContent>
        <mc:AlternateContent xmlns:mc="http://schemas.openxmlformats.org/markup-compatibility/2006">
          <mc:Choice Requires="x14">
            <control shapeId="54291" r:id="rId19" name="Check Box 19">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54292" r:id="rId20" name="Check Box 20">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54293" r:id="rId21" name="Check Box 21">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54294" r:id="rId22" name="Check Box 22">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54295" r:id="rId23" name="Check Box 23">
              <controlPr defaultSize="0" autoFill="0" autoLine="0" autoPict="0">
                <anchor moveWithCells="1">
                  <from>
                    <xdr:col>3</xdr:col>
                    <xdr:colOff>419100</xdr:colOff>
                    <xdr:row>32</xdr:row>
                    <xdr:rowOff>0</xdr:rowOff>
                  </from>
                  <to>
                    <xdr:col>3</xdr:col>
                    <xdr:colOff>609600</xdr:colOff>
                    <xdr:row>33</xdr:row>
                    <xdr:rowOff>12700</xdr:rowOff>
                  </to>
                </anchor>
              </controlPr>
            </control>
          </mc:Choice>
        </mc:AlternateContent>
        <mc:AlternateContent xmlns:mc="http://schemas.openxmlformats.org/markup-compatibility/2006">
          <mc:Choice Requires="x14">
            <control shapeId="54296" r:id="rId24" name="Check Box 24">
              <controlPr defaultSize="0" autoFill="0" autoLine="0" autoPict="0">
                <anchor moveWithCells="1">
                  <from>
                    <xdr:col>3</xdr:col>
                    <xdr:colOff>419100</xdr:colOff>
                    <xdr:row>33</xdr:row>
                    <xdr:rowOff>0</xdr:rowOff>
                  </from>
                  <to>
                    <xdr:col>3</xdr:col>
                    <xdr:colOff>609600</xdr:colOff>
                    <xdr:row>34</xdr:row>
                    <xdr:rowOff>12700</xdr:rowOff>
                  </to>
                </anchor>
              </controlPr>
            </control>
          </mc:Choice>
        </mc:AlternateContent>
        <mc:AlternateContent xmlns:mc="http://schemas.openxmlformats.org/markup-compatibility/2006">
          <mc:Choice Requires="x14">
            <control shapeId="54297" r:id="rId25" name="Check Box 25">
              <controlPr defaultSize="0" autoFill="0" autoLine="0" autoPict="0">
                <anchor moveWithCells="1">
                  <from>
                    <xdr:col>3</xdr:col>
                    <xdr:colOff>419100</xdr:colOff>
                    <xdr:row>34</xdr:row>
                    <xdr:rowOff>0</xdr:rowOff>
                  </from>
                  <to>
                    <xdr:col>3</xdr:col>
                    <xdr:colOff>609600</xdr:colOff>
                    <xdr:row>35</xdr:row>
                    <xdr:rowOff>12700</xdr:rowOff>
                  </to>
                </anchor>
              </controlPr>
            </control>
          </mc:Choice>
        </mc:AlternateContent>
        <mc:AlternateContent xmlns:mc="http://schemas.openxmlformats.org/markup-compatibility/2006">
          <mc:Choice Requires="x14">
            <control shapeId="54298" r:id="rId26" name="Check Box 26">
              <controlPr defaultSize="0" autoFill="0" autoLine="0" autoPict="0">
                <anchor moveWithCells="1">
                  <from>
                    <xdr:col>3</xdr:col>
                    <xdr:colOff>419100</xdr:colOff>
                    <xdr:row>35</xdr:row>
                    <xdr:rowOff>0</xdr:rowOff>
                  </from>
                  <to>
                    <xdr:col>3</xdr:col>
                    <xdr:colOff>609600</xdr:colOff>
                    <xdr:row>36</xdr:row>
                    <xdr:rowOff>12700</xdr:rowOff>
                  </to>
                </anchor>
              </controlPr>
            </control>
          </mc:Choice>
        </mc:AlternateContent>
        <mc:AlternateContent xmlns:mc="http://schemas.openxmlformats.org/markup-compatibility/2006">
          <mc:Choice Requires="x14">
            <control shapeId="54299" r:id="rId27" name="Check Box 27">
              <controlPr defaultSize="0" autoFill="0" autoLine="0" autoPict="0">
                <anchor moveWithCells="1">
                  <from>
                    <xdr:col>3</xdr:col>
                    <xdr:colOff>419100</xdr:colOff>
                    <xdr:row>36</xdr:row>
                    <xdr:rowOff>0</xdr:rowOff>
                  </from>
                  <to>
                    <xdr:col>3</xdr:col>
                    <xdr:colOff>609600</xdr:colOff>
                    <xdr:row>37</xdr:row>
                    <xdr:rowOff>12700</xdr:rowOff>
                  </to>
                </anchor>
              </controlPr>
            </control>
          </mc:Choice>
        </mc:AlternateContent>
        <mc:AlternateContent xmlns:mc="http://schemas.openxmlformats.org/markup-compatibility/2006">
          <mc:Choice Requires="x14">
            <control shapeId="54300" r:id="rId28" name="Check Box 28">
              <controlPr defaultSize="0" autoFill="0" autoLine="0" autoPict="0">
                <anchor moveWithCells="1">
                  <from>
                    <xdr:col>3</xdr:col>
                    <xdr:colOff>419100</xdr:colOff>
                    <xdr:row>37</xdr:row>
                    <xdr:rowOff>0</xdr:rowOff>
                  </from>
                  <to>
                    <xdr:col>3</xdr:col>
                    <xdr:colOff>609600</xdr:colOff>
                    <xdr:row>38</xdr:row>
                    <xdr:rowOff>12700</xdr:rowOff>
                  </to>
                </anchor>
              </controlPr>
            </control>
          </mc:Choice>
        </mc:AlternateContent>
        <mc:AlternateContent xmlns:mc="http://schemas.openxmlformats.org/markup-compatibility/2006">
          <mc:Choice Requires="x14">
            <control shapeId="54301" r:id="rId29" name="Check Box 29">
              <controlPr defaultSize="0" autoFill="0" autoLine="0" autoPict="0">
                <anchor moveWithCells="1">
                  <from>
                    <xdr:col>3</xdr:col>
                    <xdr:colOff>419100</xdr:colOff>
                    <xdr:row>38</xdr:row>
                    <xdr:rowOff>0</xdr:rowOff>
                  </from>
                  <to>
                    <xdr:col>3</xdr:col>
                    <xdr:colOff>609600</xdr:colOff>
                    <xdr:row>39</xdr:row>
                    <xdr:rowOff>12700</xdr:rowOff>
                  </to>
                </anchor>
              </controlPr>
            </control>
          </mc:Choice>
        </mc:AlternateContent>
        <mc:AlternateContent xmlns:mc="http://schemas.openxmlformats.org/markup-compatibility/2006">
          <mc:Choice Requires="x14">
            <control shapeId="54302" r:id="rId30" name="Check Box 30">
              <controlPr defaultSize="0" autoFill="0" autoLine="0" autoPict="0">
                <anchor moveWithCells="1">
                  <from>
                    <xdr:col>3</xdr:col>
                    <xdr:colOff>419100</xdr:colOff>
                    <xdr:row>39</xdr:row>
                    <xdr:rowOff>0</xdr:rowOff>
                  </from>
                  <to>
                    <xdr:col>3</xdr:col>
                    <xdr:colOff>609600</xdr:colOff>
                    <xdr:row>40</xdr:row>
                    <xdr:rowOff>0</xdr:rowOff>
                  </to>
                </anchor>
              </controlPr>
            </control>
          </mc:Choice>
        </mc:AlternateContent>
        <mc:AlternateContent xmlns:mc="http://schemas.openxmlformats.org/markup-compatibility/2006">
          <mc:Choice Requires="x14">
            <control shapeId="54303" r:id="rId31" name="Check Box 31">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4" r:id="rId32" name="Check Box 32">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5" r:id="rId33" name="Check Box 33">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6" r:id="rId34" name="Check Box 34">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7" r:id="rId35" name="Check Box 35">
              <controlPr defaultSize="0" autoFill="0" autoLine="0" autoPict="0">
                <anchor moveWithCells="1">
                  <from>
                    <xdr:col>3</xdr:col>
                    <xdr:colOff>419100</xdr:colOff>
                    <xdr:row>45</xdr:row>
                    <xdr:rowOff>0</xdr:rowOff>
                  </from>
                  <to>
                    <xdr:col>3</xdr:col>
                    <xdr:colOff>609600</xdr:colOff>
                    <xdr:row>46</xdr:row>
                    <xdr:rowOff>12700</xdr:rowOff>
                  </to>
                </anchor>
              </controlPr>
            </control>
          </mc:Choice>
        </mc:AlternateContent>
        <mc:AlternateContent xmlns:mc="http://schemas.openxmlformats.org/markup-compatibility/2006">
          <mc:Choice Requires="x14">
            <control shapeId="54308" r:id="rId36" name="Check Box 36">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09" r:id="rId37" name="Check Box 37">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0" r:id="rId38" name="Check Box 38">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1" r:id="rId39" name="Check Box 39">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2" r:id="rId40" name="Check Box 40">
              <controlPr defaultSize="0" autoFill="0" autoLine="0" autoPict="0">
                <anchor moveWithCells="1">
                  <from>
                    <xdr:col>3</xdr:col>
                    <xdr:colOff>419100</xdr:colOff>
                    <xdr:row>46</xdr:row>
                    <xdr:rowOff>0</xdr:rowOff>
                  </from>
                  <to>
                    <xdr:col>3</xdr:col>
                    <xdr:colOff>609600</xdr:colOff>
                    <xdr:row>47</xdr:row>
                    <xdr:rowOff>12700</xdr:rowOff>
                  </to>
                </anchor>
              </controlPr>
            </control>
          </mc:Choice>
        </mc:AlternateContent>
        <mc:AlternateContent xmlns:mc="http://schemas.openxmlformats.org/markup-compatibility/2006">
          <mc:Choice Requires="x14">
            <control shapeId="54313" r:id="rId41" name="Check Box 41">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4" r:id="rId42" name="Check Box 42">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5" r:id="rId43" name="Check Box 43">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6" r:id="rId44" name="Check Box 44">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7" r:id="rId45" name="Check Box 45">
              <controlPr defaultSize="0" autoFill="0" autoLine="0" autoPict="0">
                <anchor moveWithCells="1">
                  <from>
                    <xdr:col>3</xdr:col>
                    <xdr:colOff>419100</xdr:colOff>
                    <xdr:row>47</xdr:row>
                    <xdr:rowOff>0</xdr:rowOff>
                  </from>
                  <to>
                    <xdr:col>3</xdr:col>
                    <xdr:colOff>609600</xdr:colOff>
                    <xdr:row>48</xdr:row>
                    <xdr:rowOff>12700</xdr:rowOff>
                  </to>
                </anchor>
              </controlPr>
            </control>
          </mc:Choice>
        </mc:AlternateContent>
        <mc:AlternateContent xmlns:mc="http://schemas.openxmlformats.org/markup-compatibility/2006">
          <mc:Choice Requires="x14">
            <control shapeId="54318" r:id="rId46" name="Check Box 46">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19" r:id="rId47" name="Check Box 47">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0" r:id="rId48" name="Check Box 48">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1" r:id="rId49" name="Check Box 49">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2" r:id="rId50" name="Check Box 50">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54323" r:id="rId51" name="Check Box 51">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4" r:id="rId52" name="Check Box 52">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5" r:id="rId53" name="Check Box 53">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6" r:id="rId54" name="Check Box 54">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7" r:id="rId55" name="Check Box 55">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54328" r:id="rId56" name="Check Box 56">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29" r:id="rId57" name="Check Box 57">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0" r:id="rId58" name="Check Box 58">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1" r:id="rId59" name="Check Box 59">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2" r:id="rId60" name="Check Box 60">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54333" r:id="rId61" name="Check Box 61">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4" r:id="rId62" name="Check Box 62">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5" r:id="rId63" name="Check Box 6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6" r:id="rId64" name="Check Box 64">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7" r:id="rId65" name="Check Box 65">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54338" r:id="rId66" name="Check Box 66">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39" r:id="rId67" name="Check Box 67">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0" r:id="rId68" name="Check Box 68">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1" r:id="rId69" name="Check Box 69">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2" r:id="rId70" name="Check Box 70">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54343" r:id="rId71" name="Check Box 71">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4" r:id="rId72" name="Check Box 72">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5" r:id="rId73" name="Check Box 73">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6" r:id="rId74" name="Check Box 74">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7" r:id="rId75" name="Check Box 75">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54348" r:id="rId76" name="Check Box 76">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49" r:id="rId77" name="Check Box 77">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0" r:id="rId78" name="Check Box 78">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1" r:id="rId79" name="Check Box 79">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2" r:id="rId80" name="Check Box 80">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54353" r:id="rId81" name="Check Box 81">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4" r:id="rId82" name="Check Box 8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5" r:id="rId83" name="Check Box 83">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6" r:id="rId84" name="Check Box 84">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7" r:id="rId85" name="Check Box 85">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54358" r:id="rId86" name="Check Box 86">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59" r:id="rId87" name="Check Box 87">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0" r:id="rId88" name="Check Box 88">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1" r:id="rId89" name="Check Box 89">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2" r:id="rId90" name="Check Box 90">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54363" r:id="rId91" name="Check Box 91">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4" r:id="rId92" name="Check Box 92">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5" r:id="rId93" name="Check Box 93">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6" r:id="rId94" name="Check Box 94">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7" r:id="rId95" name="Check Box 95">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54368" r:id="rId96" name="Check Box 96">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69" r:id="rId97" name="Check Box 97">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0" r:id="rId98" name="Check Box 98">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1" r:id="rId99" name="Check Box 99">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2" r:id="rId100" name="Check Box 100">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54373" r:id="rId101" name="Check Box 101">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4" r:id="rId102" name="Check Box 102">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5" r:id="rId103" name="Check Box 103">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6" r:id="rId104" name="Check Box 104">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mc:AlternateContent xmlns:mc="http://schemas.openxmlformats.org/markup-compatibility/2006">
          <mc:Choice Requires="x14">
            <control shapeId="54377" r:id="rId105" name="Check Box 105">
              <controlPr defaultSize="0" autoFill="0" autoLine="0" autoPict="0">
                <anchor moveWithCells="1">
                  <from>
                    <xdr:col>3</xdr:col>
                    <xdr:colOff>419100</xdr:colOff>
                    <xdr:row>59</xdr:row>
                    <xdr:rowOff>0</xdr:rowOff>
                  </from>
                  <to>
                    <xdr:col>3</xdr:col>
                    <xdr:colOff>609600</xdr:colOff>
                    <xdr:row>60</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I36"/>
  <sheetViews>
    <sheetView zoomScaleNormal="100" workbookViewId="0">
      <selection activeCell="I9" sqref="I9"/>
    </sheetView>
  </sheetViews>
  <sheetFormatPr defaultColWidth="9.1796875" defaultRowHeight="15.5" x14ac:dyDescent="0.35"/>
  <cols>
    <col min="1" max="1" width="11.26953125" style="189" customWidth="1"/>
    <col min="2" max="2" width="63.81640625" style="294" customWidth="1"/>
    <col min="3" max="3" width="15.26953125" style="40" customWidth="1"/>
    <col min="4" max="4" width="13.7265625" style="189" customWidth="1"/>
    <col min="5" max="5" width="12.7265625" style="189" customWidth="1"/>
    <col min="6" max="6" width="30.7265625" style="48" customWidth="1"/>
    <col min="7" max="8" width="13" style="140" customWidth="1"/>
    <col min="9" max="9" width="56.453125" style="140" customWidth="1"/>
    <col min="10" max="10" width="12.453125" style="140" customWidth="1"/>
    <col min="11" max="11" width="9.1796875" style="140"/>
    <col min="12" max="12" width="12.54296875" style="140" customWidth="1"/>
    <col min="13" max="13" width="16.26953125" style="140" customWidth="1"/>
    <col min="14" max="14" width="19.453125" style="140" customWidth="1"/>
    <col min="15" max="16384" width="9.1796875" style="140"/>
  </cols>
  <sheetData>
    <row r="1" spans="1:9" x14ac:dyDescent="0.35">
      <c r="A1" s="625" t="s">
        <v>197</v>
      </c>
      <c r="B1" s="625"/>
      <c r="C1" s="625"/>
      <c r="F1" s="463" t="s">
        <v>412</v>
      </c>
      <c r="G1" s="40"/>
    </row>
    <row r="2" spans="1:9" x14ac:dyDescent="0.35">
      <c r="A2" s="232"/>
      <c r="B2" s="232"/>
      <c r="C2" s="232"/>
      <c r="F2" s="464" t="str">
        <f>VLOOKUP(shiptypenum,shiptbl,2,FALSE)</f>
        <v>LPD</v>
      </c>
      <c r="G2" s="40"/>
    </row>
    <row r="3" spans="1:9" x14ac:dyDescent="0.35">
      <c r="A3" s="53" t="s">
        <v>44</v>
      </c>
      <c r="B3" s="53"/>
      <c r="C3" s="63"/>
      <c r="D3" s="63"/>
      <c r="E3" s="54"/>
      <c r="F3" s="467"/>
      <c r="G3" s="40"/>
    </row>
    <row r="4" spans="1:9" x14ac:dyDescent="0.35">
      <c r="A4" s="53"/>
      <c r="B4" s="53"/>
      <c r="C4" s="63"/>
      <c r="D4" s="63"/>
      <c r="E4" s="54"/>
      <c r="F4" s="467"/>
      <c r="G4" s="40"/>
    </row>
    <row r="5" spans="1:9" s="48" customFormat="1" ht="33.75" customHeight="1" x14ac:dyDescent="0.35">
      <c r="A5" s="585" t="s">
        <v>481</v>
      </c>
      <c r="B5" s="585"/>
      <c r="C5" s="585"/>
      <c r="D5" s="272"/>
      <c r="G5" s="286"/>
    </row>
    <row r="6" spans="1:9" s="48" customFormat="1" ht="33.75" customHeight="1" thickBot="1" x14ac:dyDescent="0.4">
      <c r="A6" s="585" t="s">
        <v>480</v>
      </c>
      <c r="B6" s="585"/>
      <c r="C6" s="585"/>
      <c r="D6" s="287"/>
      <c r="G6" s="286"/>
    </row>
    <row r="7" spans="1:9" ht="26.25" customHeight="1" thickTop="1" thickBot="1" x14ac:dyDescent="0.4">
      <c r="A7" s="288"/>
      <c r="B7" s="289"/>
      <c r="C7" s="497" t="s">
        <v>26</v>
      </c>
      <c r="D7" s="290" t="s">
        <v>24</v>
      </c>
      <c r="E7" s="189" t="s">
        <v>25</v>
      </c>
      <c r="F7" s="483"/>
      <c r="G7" s="40"/>
    </row>
    <row r="8" spans="1:9" ht="16" thickTop="1" x14ac:dyDescent="0.35">
      <c r="A8" s="626" t="s">
        <v>198</v>
      </c>
      <c r="B8" s="627"/>
      <c r="C8" s="400"/>
      <c r="D8" s="126"/>
      <c r="F8" s="473"/>
      <c r="G8" s="40"/>
    </row>
    <row r="9" spans="1:9" ht="54.75" customHeight="1" x14ac:dyDescent="0.35">
      <c r="A9" s="35" t="s">
        <v>50</v>
      </c>
      <c r="B9" s="206" t="s">
        <v>292</v>
      </c>
      <c r="C9" s="264" t="b">
        <v>0</v>
      </c>
      <c r="D9" s="189">
        <v>10</v>
      </c>
      <c r="E9" s="189">
        <f>IF(C9,D9,0)</f>
        <v>0</v>
      </c>
      <c r="F9" s="483"/>
      <c r="G9" s="40"/>
    </row>
    <row r="10" spans="1:9" ht="349.5" customHeight="1" x14ac:dyDescent="0.35">
      <c r="A10" s="35"/>
      <c r="B10" s="477" t="s">
        <v>468</v>
      </c>
      <c r="C10" s="285"/>
      <c r="D10" s="126"/>
      <c r="F10" s="484"/>
      <c r="G10" s="40"/>
      <c r="I10" s="475"/>
    </row>
    <row r="11" spans="1:9" ht="27.75" customHeight="1" x14ac:dyDescent="0.35">
      <c r="A11" s="628" t="s">
        <v>199</v>
      </c>
      <c r="B11" s="629"/>
      <c r="C11" s="285"/>
      <c r="D11" s="126"/>
      <c r="F11" s="469"/>
      <c r="G11" s="40"/>
    </row>
    <row r="12" spans="1:9" ht="59.25" customHeight="1" x14ac:dyDescent="0.35">
      <c r="A12" s="35" t="s">
        <v>51</v>
      </c>
      <c r="B12" s="206" t="s">
        <v>291</v>
      </c>
      <c r="C12" s="264" t="b">
        <v>0</v>
      </c>
      <c r="D12" s="126">
        <v>10</v>
      </c>
      <c r="E12" s="189">
        <f t="shared" ref="E12:E23" si="0">IF(C12,D12,0)</f>
        <v>0</v>
      </c>
      <c r="F12" s="483"/>
      <c r="G12" s="40"/>
    </row>
    <row r="13" spans="1:9" ht="184.5" customHeight="1" x14ac:dyDescent="0.35">
      <c r="A13" s="35"/>
      <c r="B13" s="477" t="s">
        <v>469</v>
      </c>
      <c r="C13" s="285"/>
      <c r="D13" s="126"/>
      <c r="F13" s="470"/>
      <c r="G13" s="40"/>
    </row>
    <row r="14" spans="1:9" customFormat="1" ht="45.75" customHeight="1" x14ac:dyDescent="0.35">
      <c r="A14" s="35" t="s">
        <v>384</v>
      </c>
      <c r="B14" s="207" t="s">
        <v>236</v>
      </c>
      <c r="C14" s="73" t="b">
        <v>0</v>
      </c>
      <c r="D14" s="36">
        <v>10</v>
      </c>
      <c r="E14" s="26">
        <f>IF(C14,D14,0)</f>
        <v>0</v>
      </c>
      <c r="F14" s="483"/>
      <c r="G14" s="3"/>
    </row>
    <row r="15" spans="1:9" ht="27.75" customHeight="1" x14ac:dyDescent="0.35">
      <c r="A15" s="628" t="s">
        <v>201</v>
      </c>
      <c r="B15" s="629"/>
      <c r="C15" s="285"/>
      <c r="D15" s="126"/>
      <c r="F15" s="483"/>
      <c r="G15" s="40"/>
    </row>
    <row r="16" spans="1:9" ht="26.25" customHeight="1" x14ac:dyDescent="0.35">
      <c r="A16" s="35" t="s">
        <v>52</v>
      </c>
      <c r="B16" s="204" t="s">
        <v>218</v>
      </c>
      <c r="C16" s="264" t="b">
        <v>0</v>
      </c>
      <c r="D16" s="126">
        <f>0.3*D12</f>
        <v>3</v>
      </c>
      <c r="E16" s="189">
        <f t="shared" si="0"/>
        <v>0</v>
      </c>
      <c r="F16" s="471"/>
      <c r="G16" s="40"/>
    </row>
    <row r="17" spans="1:7" ht="45" customHeight="1" x14ac:dyDescent="0.35">
      <c r="A17" s="35" t="s">
        <v>53</v>
      </c>
      <c r="B17" s="227" t="s">
        <v>219</v>
      </c>
      <c r="C17" s="264" t="b">
        <v>0</v>
      </c>
      <c r="D17" s="189">
        <v>5</v>
      </c>
      <c r="E17" s="189">
        <f t="shared" si="0"/>
        <v>0</v>
      </c>
      <c r="F17" s="472"/>
    </row>
    <row r="18" spans="1:7" ht="25.5" customHeight="1" x14ac:dyDescent="0.35">
      <c r="A18" s="628" t="s">
        <v>200</v>
      </c>
      <c r="B18" s="629"/>
      <c r="C18" s="285"/>
      <c r="F18" s="468"/>
    </row>
    <row r="19" spans="1:7" ht="25.5" customHeight="1" x14ac:dyDescent="0.35">
      <c r="A19" s="35"/>
      <c r="B19" s="205" t="s">
        <v>287</v>
      </c>
      <c r="C19" s="285"/>
      <c r="F19" s="483"/>
    </row>
    <row r="20" spans="1:7" ht="25.5" customHeight="1" x14ac:dyDescent="0.35">
      <c r="A20" s="35" t="s">
        <v>54</v>
      </c>
      <c r="B20" s="284" t="s">
        <v>220</v>
      </c>
      <c r="C20" s="264" t="b">
        <v>0</v>
      </c>
      <c r="D20" s="189">
        <v>5</v>
      </c>
      <c r="E20" s="126">
        <f t="shared" si="0"/>
        <v>0</v>
      </c>
      <c r="F20" s="483"/>
    </row>
    <row r="21" spans="1:7" ht="25.5" customHeight="1" x14ac:dyDescent="0.35">
      <c r="A21" s="35" t="s">
        <v>288</v>
      </c>
      <c r="B21" s="284" t="s">
        <v>222</v>
      </c>
      <c r="C21" s="264" t="b">
        <v>0</v>
      </c>
      <c r="D21" s="189">
        <v>5</v>
      </c>
      <c r="E21" s="126">
        <f t="shared" si="0"/>
        <v>0</v>
      </c>
      <c r="F21" s="483"/>
    </row>
    <row r="22" spans="1:7" ht="25.5" customHeight="1" x14ac:dyDescent="0.35">
      <c r="A22" s="35" t="s">
        <v>289</v>
      </c>
      <c r="B22" s="284" t="s">
        <v>221</v>
      </c>
      <c r="C22" s="264" t="b">
        <v>0</v>
      </c>
      <c r="D22" s="189">
        <v>10</v>
      </c>
      <c r="E22" s="126">
        <f t="shared" si="0"/>
        <v>0</v>
      </c>
      <c r="F22" s="484"/>
    </row>
    <row r="23" spans="1:7" ht="25.5" customHeight="1" thickBot="1" x14ac:dyDescent="0.4">
      <c r="A23" s="35" t="s">
        <v>290</v>
      </c>
      <c r="B23" s="284" t="s">
        <v>223</v>
      </c>
      <c r="C23" s="264" t="b">
        <v>0</v>
      </c>
      <c r="D23" s="189">
        <v>10</v>
      </c>
      <c r="E23" s="126">
        <f t="shared" si="0"/>
        <v>0</v>
      </c>
      <c r="F23" s="484"/>
    </row>
    <row r="24" spans="1:7" ht="27.75" customHeight="1" thickTop="1" thickBot="1" x14ac:dyDescent="0.4">
      <c r="A24" s="291"/>
      <c r="B24" s="292"/>
      <c r="C24" s="387"/>
      <c r="E24" s="126"/>
      <c r="F24" s="485"/>
      <c r="G24" s="40"/>
    </row>
    <row r="25" spans="1:7" ht="16" thickBot="1" x14ac:dyDescent="0.4">
      <c r="B25" s="293" t="s">
        <v>32</v>
      </c>
      <c r="C25" s="296">
        <f>E25/D25</f>
        <v>0</v>
      </c>
      <c r="D25" s="189">
        <f>SUM(D9:D23)</f>
        <v>68</v>
      </c>
      <c r="E25" s="189">
        <f>SUM(E9:E23)</f>
        <v>0</v>
      </c>
      <c r="F25" s="473"/>
      <c r="G25" s="40"/>
    </row>
    <row r="26" spans="1:7" ht="16" thickBot="1" x14ac:dyDescent="0.4">
      <c r="F26" s="473"/>
    </row>
    <row r="27" spans="1:7" ht="177" customHeight="1" thickBot="1" x14ac:dyDescent="0.4">
      <c r="B27" s="588" t="s">
        <v>46</v>
      </c>
      <c r="C27" s="589"/>
      <c r="F27" s="473"/>
    </row>
    <row r="28" spans="1:7" x14ac:dyDescent="0.35">
      <c r="B28" s="33"/>
    </row>
    <row r="29" spans="1:7" x14ac:dyDescent="0.35">
      <c r="B29" s="295"/>
      <c r="F29" s="467"/>
    </row>
    <row r="36" ht="17.25" customHeight="1" x14ac:dyDescent="0.35"/>
  </sheetData>
  <mergeCells count="8">
    <mergeCell ref="A1:C1"/>
    <mergeCell ref="B27:C27"/>
    <mergeCell ref="A8:B8"/>
    <mergeCell ref="A11:B11"/>
    <mergeCell ref="A15:B15"/>
    <mergeCell ref="A18:B18"/>
    <mergeCell ref="A5:C5"/>
    <mergeCell ref="A6:C6"/>
  </mergeCells>
  <pageMargins left="0.7" right="0.7" top="0.75" bottom="0.75" header="0.3" footer="0.3"/>
  <pageSetup scale="58" fitToHeight="10" orientation="portrait" r:id="rId1"/>
  <headerFooter>
    <oddHeader>&amp;L4.1 
Recreation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55300" r:id="rId5" name="Check Box 4">
              <controlPr defaultSize="0" autoFill="0" autoLine="0" autoPict="0">
                <anchor moveWithCells="1">
                  <from>
                    <xdr:col>2</xdr:col>
                    <xdr:colOff>412750</xdr:colOff>
                    <xdr:row>11</xdr:row>
                    <xdr:rowOff>203200</xdr:rowOff>
                  </from>
                  <to>
                    <xdr:col>2</xdr:col>
                    <xdr:colOff>603250</xdr:colOff>
                    <xdr:row>11</xdr:row>
                    <xdr:rowOff>412750</xdr:rowOff>
                  </to>
                </anchor>
              </controlPr>
            </control>
          </mc:Choice>
        </mc:AlternateContent>
        <mc:AlternateContent xmlns:mc="http://schemas.openxmlformats.org/markup-compatibility/2006">
          <mc:Choice Requires="x14">
            <control shapeId="55303" r:id="rId6" name="Check Box 7">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mc:AlternateContent xmlns:mc="http://schemas.openxmlformats.org/markup-compatibility/2006">
          <mc:Choice Requires="x14">
            <control shapeId="55304" r:id="rId7" name="Check Box 8">
              <controlPr defaultSize="0" autoFill="0" autoLine="0" autoPict="0">
                <anchor moveWithCells="1">
                  <from>
                    <xdr:col>2</xdr:col>
                    <xdr:colOff>419100</xdr:colOff>
                    <xdr:row>16</xdr:row>
                    <xdr:rowOff>0</xdr:rowOff>
                  </from>
                  <to>
                    <xdr:col>2</xdr:col>
                    <xdr:colOff>609600</xdr:colOff>
                    <xdr:row>16</xdr:row>
                    <xdr:rowOff>209550</xdr:rowOff>
                  </to>
                </anchor>
              </controlPr>
            </control>
          </mc:Choice>
        </mc:AlternateContent>
        <mc:AlternateContent xmlns:mc="http://schemas.openxmlformats.org/markup-compatibility/2006">
          <mc:Choice Requires="x14">
            <control shapeId="55308" r:id="rId8" name="Check Box 12">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55309" r:id="rId9" name="Check Box 13">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55310" r:id="rId10" name="Check Box 14">
              <controlPr defaultSize="0" autoFill="0" autoLine="0" autoPict="0">
                <anchor moveWithCells="1">
                  <from>
                    <xdr:col>2</xdr:col>
                    <xdr:colOff>419100</xdr:colOff>
                    <xdr:row>21</xdr:row>
                    <xdr:rowOff>0</xdr:rowOff>
                  </from>
                  <to>
                    <xdr:col>2</xdr:col>
                    <xdr:colOff>609600</xdr:colOff>
                    <xdr:row>21</xdr:row>
                    <xdr:rowOff>209550</xdr:rowOff>
                  </to>
                </anchor>
              </controlPr>
            </control>
          </mc:Choice>
        </mc:AlternateContent>
        <mc:AlternateContent xmlns:mc="http://schemas.openxmlformats.org/markup-compatibility/2006">
          <mc:Choice Requires="x14">
            <control shapeId="55311" r:id="rId11" name="Check Box 15">
              <controlPr defaultSize="0" autoFill="0" autoLine="0" autoPict="0">
                <anchor moveWithCells="1">
                  <from>
                    <xdr:col>2</xdr:col>
                    <xdr:colOff>419100</xdr:colOff>
                    <xdr:row>22</xdr:row>
                    <xdr:rowOff>0</xdr:rowOff>
                  </from>
                  <to>
                    <xdr:col>2</xdr:col>
                    <xdr:colOff>609600</xdr:colOff>
                    <xdr:row>22</xdr:row>
                    <xdr:rowOff>209550</xdr:rowOff>
                  </to>
                </anchor>
              </controlPr>
            </control>
          </mc:Choice>
        </mc:AlternateContent>
        <mc:AlternateContent xmlns:mc="http://schemas.openxmlformats.org/markup-compatibility/2006">
          <mc:Choice Requires="x14">
            <control shapeId="55323" r:id="rId12" name="Check Box 27">
              <controlPr defaultSize="0" autoFill="0" autoLine="0" autoPict="0">
                <anchor moveWithCells="1" sizeWithCells="1">
                  <from>
                    <xdr:col>2</xdr:col>
                    <xdr:colOff>361950</xdr:colOff>
                    <xdr:row>13</xdr:row>
                    <xdr:rowOff>0</xdr:rowOff>
                  </from>
                  <to>
                    <xdr:col>3</xdr:col>
                    <xdr:colOff>127000</xdr:colOff>
                    <xdr:row>13</xdr:row>
                    <xdr:rowOff>209550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J103"/>
  <sheetViews>
    <sheetView topLeftCell="A20" zoomScaleNormal="100" zoomScaleSheetLayoutView="100" workbookViewId="0">
      <selection activeCell="G35" sqref="G35"/>
    </sheetView>
  </sheetViews>
  <sheetFormatPr defaultColWidth="9.1796875" defaultRowHeight="15.5" x14ac:dyDescent="0.35"/>
  <cols>
    <col min="1" max="1" width="11" style="181" customWidth="1"/>
    <col min="2" max="2" width="60.1796875" style="175" customWidth="1"/>
    <col min="3" max="3" width="10.26953125" style="40" customWidth="1"/>
    <col min="4" max="4" width="17.81640625" style="40" customWidth="1"/>
    <col min="5" max="5" width="13.7265625" style="189" customWidth="1"/>
    <col min="6" max="6" width="13.1796875" style="189" customWidth="1"/>
    <col min="7" max="7" width="27" style="140" customWidth="1"/>
    <col min="8" max="8" width="17.7265625" style="140" customWidth="1"/>
    <col min="9" max="10" width="0" style="140" hidden="1" customWidth="1"/>
    <col min="11" max="16384" width="9.1796875" style="140"/>
  </cols>
  <sheetData>
    <row r="1" spans="1:7" x14ac:dyDescent="0.35">
      <c r="A1" s="77" t="s">
        <v>193</v>
      </c>
      <c r="B1" s="77"/>
      <c r="C1" s="77"/>
      <c r="D1" s="136"/>
      <c r="G1" s="371" t="s">
        <v>412</v>
      </c>
    </row>
    <row r="2" spans="1:7" x14ac:dyDescent="0.35">
      <c r="A2" s="567"/>
      <c r="B2" s="567"/>
      <c r="C2" s="567"/>
      <c r="D2" s="136"/>
      <c r="G2" s="372" t="str">
        <f>VLOOKUP(shiptypenum,shiptbl,2,FALSE)</f>
        <v>LPD</v>
      </c>
    </row>
    <row r="3" spans="1:7" x14ac:dyDescent="0.35">
      <c r="A3" s="53" t="s">
        <v>44</v>
      </c>
      <c r="B3" s="157"/>
      <c r="C3" s="191"/>
      <c r="D3" s="192"/>
    </row>
    <row r="4" spans="1:7" s="475" customFormat="1" ht="33.75" customHeight="1" x14ac:dyDescent="0.35">
      <c r="A4" s="585" t="s">
        <v>481</v>
      </c>
      <c r="B4" s="585"/>
      <c r="C4" s="585"/>
      <c r="D4" s="272"/>
      <c r="E4" s="287"/>
      <c r="F4" s="287"/>
    </row>
    <row r="5" spans="1:7" s="475" customFormat="1" ht="33.75" customHeight="1" thickBot="1" x14ac:dyDescent="0.4">
      <c r="A5" s="585" t="s">
        <v>480</v>
      </c>
      <c r="B5" s="585"/>
      <c r="C5" s="585"/>
      <c r="D5" s="302"/>
      <c r="E5" s="287"/>
      <c r="F5" s="287"/>
    </row>
    <row r="6" spans="1:7" ht="24.75" customHeight="1" thickTop="1" thickBot="1" x14ac:dyDescent="0.4">
      <c r="A6" s="633"/>
      <c r="B6" s="633"/>
      <c r="C6" s="193"/>
      <c r="D6" s="328" t="s">
        <v>26</v>
      </c>
      <c r="E6" s="189" t="s">
        <v>24</v>
      </c>
      <c r="F6" s="189" t="s">
        <v>25</v>
      </c>
      <c r="G6" s="568"/>
    </row>
    <row r="7" spans="1:7" s="304" customFormat="1" ht="16" thickTop="1" x14ac:dyDescent="0.35">
      <c r="A7" s="312"/>
      <c r="B7" s="309" t="s">
        <v>329</v>
      </c>
      <c r="C7" s="342" t="s">
        <v>328</v>
      </c>
      <c r="D7" s="313"/>
      <c r="E7" s="317"/>
      <c r="F7" s="317"/>
      <c r="G7" s="473"/>
    </row>
    <row r="8" spans="1:7" s="304" customFormat="1" ht="31.5" customHeight="1" x14ac:dyDescent="0.35">
      <c r="A8" s="316" t="s">
        <v>331</v>
      </c>
      <c r="B8" s="564" t="s">
        <v>485</v>
      </c>
      <c r="C8" s="303">
        <f>VLOOKUP(ship_type,cardio_tbl,2,FALSE)</f>
        <v>21</v>
      </c>
      <c r="D8" s="264" t="b">
        <v>0</v>
      </c>
      <c r="E8" s="379">
        <v>10</v>
      </c>
      <c r="F8" s="317">
        <f>IF(D8,E8,0)</f>
        <v>0</v>
      </c>
      <c r="G8" s="483"/>
    </row>
    <row r="9" spans="1:7" s="304" customFormat="1" ht="15.5" customHeight="1" x14ac:dyDescent="0.35">
      <c r="A9" s="316"/>
      <c r="B9" s="569" t="s">
        <v>486</v>
      </c>
      <c r="C9" s="570"/>
      <c r="D9" s="264" t="b">
        <v>0</v>
      </c>
      <c r="E9" s="379">
        <v>8</v>
      </c>
      <c r="F9" s="317">
        <f>IF(D9,E9,0)</f>
        <v>0</v>
      </c>
      <c r="G9" s="483"/>
    </row>
    <row r="10" spans="1:7" s="304" customFormat="1" x14ac:dyDescent="0.35">
      <c r="A10" s="312"/>
      <c r="B10" s="305" t="s">
        <v>338</v>
      </c>
      <c r="C10" s="308"/>
      <c r="D10" s="321"/>
      <c r="E10" s="379"/>
      <c r="F10" s="317"/>
      <c r="G10" s="329"/>
    </row>
    <row r="11" spans="1:7" s="304" customFormat="1" x14ac:dyDescent="0.35">
      <c r="A11" s="312"/>
      <c r="B11" s="305" t="s">
        <v>339</v>
      </c>
      <c r="C11" s="308"/>
      <c r="D11" s="322"/>
      <c r="E11" s="379"/>
      <c r="F11" s="317"/>
      <c r="G11" s="329"/>
    </row>
    <row r="12" spans="1:7" s="304" customFormat="1" x14ac:dyDescent="0.35">
      <c r="A12" s="312"/>
      <c r="B12" s="305" t="s">
        <v>487</v>
      </c>
      <c r="C12" s="308"/>
      <c r="D12" s="322"/>
      <c r="E12" s="379"/>
      <c r="F12" s="317"/>
      <c r="G12" s="329"/>
    </row>
    <row r="13" spans="1:7" s="304" customFormat="1" x14ac:dyDescent="0.35">
      <c r="A13" s="312"/>
      <c r="B13" s="571" t="s">
        <v>488</v>
      </c>
      <c r="C13" s="572"/>
      <c r="D13" s="573" t="b">
        <v>0</v>
      </c>
      <c r="E13" s="379">
        <v>8</v>
      </c>
      <c r="F13" s="317">
        <f>IF(D13,E13,0)</f>
        <v>0</v>
      </c>
      <c r="G13" s="329"/>
    </row>
    <row r="14" spans="1:7" s="304" customFormat="1" x14ac:dyDescent="0.35">
      <c r="A14" s="312"/>
      <c r="B14" s="305" t="s">
        <v>489</v>
      </c>
      <c r="C14" s="308"/>
      <c r="D14" s="322"/>
      <c r="E14" s="379"/>
      <c r="F14" s="317"/>
      <c r="G14" s="329"/>
    </row>
    <row r="15" spans="1:7" s="304" customFormat="1" x14ac:dyDescent="0.35">
      <c r="A15" s="312"/>
      <c r="B15" s="305" t="s">
        <v>490</v>
      </c>
      <c r="C15" s="308"/>
      <c r="D15" s="322"/>
      <c r="E15" s="379"/>
      <c r="F15" s="317"/>
      <c r="G15" s="329"/>
    </row>
    <row r="16" spans="1:7" s="304" customFormat="1" x14ac:dyDescent="0.35">
      <c r="A16" s="312"/>
      <c r="B16" s="574" t="s">
        <v>488</v>
      </c>
      <c r="C16" s="572"/>
      <c r="D16" s="573" t="b">
        <v>0</v>
      </c>
      <c r="E16" s="379">
        <v>8</v>
      </c>
      <c r="F16" s="317">
        <f>IF(D16,E16,0)</f>
        <v>0</v>
      </c>
      <c r="G16" s="329"/>
    </row>
    <row r="17" spans="1:7" s="304" customFormat="1" x14ac:dyDescent="0.35">
      <c r="A17" s="312"/>
      <c r="B17" s="575" t="s">
        <v>491</v>
      </c>
      <c r="C17" s="308"/>
      <c r="D17" s="322"/>
      <c r="E17" s="379"/>
      <c r="F17" s="317"/>
      <c r="G17" s="329"/>
    </row>
    <row r="18" spans="1:7" s="304" customFormat="1" x14ac:dyDescent="0.35">
      <c r="A18" s="312"/>
      <c r="B18" s="575" t="s">
        <v>492</v>
      </c>
      <c r="C18" s="308"/>
      <c r="D18" s="322"/>
      <c r="E18" s="379"/>
      <c r="F18" s="317"/>
      <c r="G18" s="329"/>
    </row>
    <row r="19" spans="1:7" s="304" customFormat="1" x14ac:dyDescent="0.35">
      <c r="A19" s="312"/>
      <c r="B19" s="575" t="s">
        <v>493</v>
      </c>
      <c r="C19" s="308"/>
      <c r="D19" s="322"/>
      <c r="E19" s="379"/>
      <c r="F19" s="317"/>
      <c r="G19" s="329"/>
    </row>
    <row r="20" spans="1:7" s="304" customFormat="1" x14ac:dyDescent="0.35">
      <c r="A20" s="312"/>
      <c r="B20" s="575" t="s">
        <v>494</v>
      </c>
      <c r="C20" s="308"/>
      <c r="D20" s="322"/>
      <c r="E20" s="379"/>
      <c r="F20" s="317"/>
      <c r="G20" s="329"/>
    </row>
    <row r="21" spans="1:7" s="304" customFormat="1" ht="16.5" customHeight="1" x14ac:dyDescent="0.35">
      <c r="A21" s="312"/>
      <c r="B21" s="179" t="s">
        <v>495</v>
      </c>
      <c r="C21" s="308"/>
      <c r="D21" s="322"/>
      <c r="E21" s="379"/>
      <c r="F21" s="317"/>
      <c r="G21" s="329"/>
    </row>
    <row r="22" spans="1:7" s="304" customFormat="1" ht="21" customHeight="1" x14ac:dyDescent="0.35">
      <c r="A22" s="312"/>
      <c r="B22" s="309" t="s">
        <v>496</v>
      </c>
      <c r="C22" s="303"/>
      <c r="D22" s="323"/>
      <c r="E22" s="379"/>
      <c r="F22" s="317"/>
      <c r="G22" s="473"/>
    </row>
    <row r="23" spans="1:7" s="304" customFormat="1" ht="33.75" customHeight="1" x14ac:dyDescent="0.35">
      <c r="A23" s="316" t="s">
        <v>332</v>
      </c>
      <c r="B23" s="564" t="s">
        <v>497</v>
      </c>
      <c r="C23" s="572"/>
      <c r="D23" s="264" t="b">
        <v>0</v>
      </c>
      <c r="E23" s="379">
        <v>10</v>
      </c>
      <c r="F23" s="317">
        <f>IF(D23,E23,0)</f>
        <v>0</v>
      </c>
      <c r="G23" s="483"/>
    </row>
    <row r="24" spans="1:7" s="304" customFormat="1" ht="15.75" customHeight="1" x14ac:dyDescent="0.35">
      <c r="A24" s="312"/>
      <c r="B24" s="305" t="s">
        <v>340</v>
      </c>
      <c r="C24" s="303">
        <f>VLOOKUP(ship_type,strength_tbl,2,FALSE)</f>
        <v>3</v>
      </c>
      <c r="D24" s="322"/>
      <c r="E24" s="379"/>
      <c r="F24" s="317"/>
      <c r="G24" s="329"/>
    </row>
    <row r="25" spans="1:7" s="304" customFormat="1" ht="15.75" customHeight="1" x14ac:dyDescent="0.35">
      <c r="A25" s="312"/>
      <c r="B25" s="305" t="s">
        <v>341</v>
      </c>
      <c r="C25" s="303">
        <f>VLOOKUP(ship_type,strength_tbl,3,FALSE)</f>
        <v>2</v>
      </c>
      <c r="D25" s="322"/>
      <c r="E25" s="379"/>
      <c r="F25" s="317"/>
      <c r="G25" s="329"/>
    </row>
    <row r="26" spans="1:7" s="304" customFormat="1" ht="15.75" customHeight="1" x14ac:dyDescent="0.35">
      <c r="A26" s="312"/>
      <c r="B26" s="307" t="s">
        <v>343</v>
      </c>
      <c r="C26" s="303">
        <v>2</v>
      </c>
      <c r="D26" s="322"/>
      <c r="E26" s="379"/>
      <c r="F26" s="317"/>
      <c r="G26" s="329"/>
    </row>
    <row r="27" spans="1:7" s="304" customFormat="1" ht="15.75" customHeight="1" x14ac:dyDescent="0.35">
      <c r="A27" s="312"/>
      <c r="B27" s="307" t="s">
        <v>342</v>
      </c>
      <c r="C27" s="303">
        <v>10</v>
      </c>
      <c r="D27" s="322"/>
      <c r="E27" s="379"/>
      <c r="F27" s="317"/>
      <c r="G27" s="329"/>
    </row>
    <row r="28" spans="1:7" s="304" customFormat="1" ht="23.25" customHeight="1" x14ac:dyDescent="0.35">
      <c r="A28" s="312"/>
      <c r="B28" s="315" t="s">
        <v>498</v>
      </c>
      <c r="C28" s="303"/>
      <c r="D28" s="576"/>
      <c r="E28" s="379"/>
      <c r="F28" s="317"/>
      <c r="G28" s="473"/>
    </row>
    <row r="29" spans="1:7" s="304" customFormat="1" ht="41.25" customHeight="1" x14ac:dyDescent="0.35">
      <c r="A29" s="316" t="s">
        <v>333</v>
      </c>
      <c r="B29" s="564" t="s">
        <v>499</v>
      </c>
      <c r="C29" s="303">
        <v>21</v>
      </c>
      <c r="D29" s="323" t="b">
        <v>0</v>
      </c>
      <c r="E29" s="379">
        <v>15</v>
      </c>
      <c r="F29" s="317">
        <f>IF(D29,E29,0)</f>
        <v>0</v>
      </c>
      <c r="G29" s="483"/>
    </row>
    <row r="30" spans="1:7" s="304" customFormat="1" ht="21" customHeight="1" x14ac:dyDescent="0.35">
      <c r="A30" s="312"/>
      <c r="B30" s="315" t="s">
        <v>500</v>
      </c>
      <c r="C30" s="303"/>
      <c r="D30" s="323"/>
      <c r="E30" s="379"/>
      <c r="F30" s="317"/>
      <c r="G30" s="473"/>
    </row>
    <row r="31" spans="1:7" s="304" customFormat="1" x14ac:dyDescent="0.35">
      <c r="A31" s="312"/>
      <c r="B31" s="305" t="s">
        <v>344</v>
      </c>
      <c r="C31" s="308"/>
      <c r="D31" s="322"/>
      <c r="E31" s="379"/>
      <c r="F31" s="317"/>
      <c r="G31" s="329"/>
    </row>
    <row r="32" spans="1:7" s="304" customFormat="1" x14ac:dyDescent="0.35">
      <c r="A32" s="312"/>
      <c r="B32" s="305" t="s">
        <v>345</v>
      </c>
      <c r="C32" s="308"/>
      <c r="D32" s="322"/>
      <c r="E32" s="379"/>
      <c r="F32" s="317"/>
      <c r="G32" s="329"/>
    </row>
    <row r="33" spans="1:7" s="304" customFormat="1" x14ac:dyDescent="0.35">
      <c r="A33" s="312"/>
      <c r="B33" s="305" t="s">
        <v>501</v>
      </c>
      <c r="C33" s="308"/>
      <c r="D33" s="322"/>
      <c r="E33" s="379"/>
      <c r="F33" s="317"/>
      <c r="G33" s="329"/>
    </row>
    <row r="34" spans="1:7" s="304" customFormat="1" x14ac:dyDescent="0.35">
      <c r="A34" s="312"/>
      <c r="B34" s="305" t="s">
        <v>346</v>
      </c>
      <c r="C34" s="308"/>
      <c r="D34" s="322"/>
      <c r="E34" s="379"/>
      <c r="F34" s="317"/>
      <c r="G34" s="329"/>
    </row>
    <row r="35" spans="1:7" s="304" customFormat="1" x14ac:dyDescent="0.35">
      <c r="A35" s="312"/>
      <c r="B35" s="305" t="s">
        <v>347</v>
      </c>
      <c r="C35" s="308"/>
      <c r="D35" s="322"/>
      <c r="E35" s="379"/>
      <c r="F35" s="317"/>
      <c r="G35" s="329"/>
    </row>
    <row r="36" spans="1:7" s="304" customFormat="1" x14ac:dyDescent="0.35">
      <c r="A36" s="312"/>
      <c r="B36" s="305" t="s">
        <v>348</v>
      </c>
      <c r="C36" s="308"/>
      <c r="D36" s="322"/>
      <c r="E36" s="379"/>
      <c r="F36" s="317"/>
      <c r="G36" s="329"/>
    </row>
    <row r="37" spans="1:7" s="304" customFormat="1" x14ac:dyDescent="0.35">
      <c r="A37" s="312"/>
      <c r="B37" s="305" t="s">
        <v>349</v>
      </c>
      <c r="C37" s="308"/>
      <c r="D37" s="322"/>
      <c r="E37" s="379"/>
      <c r="F37" s="317"/>
      <c r="G37" s="329"/>
    </row>
    <row r="38" spans="1:7" s="304" customFormat="1" x14ac:dyDescent="0.35">
      <c r="A38" s="312"/>
      <c r="B38" s="305" t="s">
        <v>350</v>
      </c>
      <c r="C38" s="308"/>
      <c r="D38" s="322"/>
      <c r="E38" s="379"/>
      <c r="F38" s="317"/>
      <c r="G38" s="329"/>
    </row>
    <row r="39" spans="1:7" s="304" customFormat="1" x14ac:dyDescent="0.35">
      <c r="A39" s="312"/>
      <c r="B39" s="305" t="s">
        <v>351</v>
      </c>
      <c r="C39" s="308"/>
      <c r="D39" s="322"/>
      <c r="E39" s="379"/>
      <c r="F39" s="317"/>
      <c r="G39" s="329"/>
    </row>
    <row r="40" spans="1:7" s="304" customFormat="1" x14ac:dyDescent="0.35">
      <c r="A40" s="312"/>
      <c r="B40" s="305" t="s">
        <v>352</v>
      </c>
      <c r="C40" s="308"/>
      <c r="D40" s="322"/>
      <c r="E40" s="379"/>
      <c r="F40" s="317"/>
      <c r="G40" s="329"/>
    </row>
    <row r="41" spans="1:7" s="304" customFormat="1" x14ac:dyDescent="0.35">
      <c r="A41" s="312"/>
      <c r="B41" s="305" t="s">
        <v>528</v>
      </c>
      <c r="C41" s="308"/>
      <c r="D41" s="322"/>
      <c r="E41" s="379"/>
      <c r="F41" s="317"/>
      <c r="G41" s="329"/>
    </row>
    <row r="42" spans="1:7" s="304" customFormat="1" ht="21" customHeight="1" x14ac:dyDescent="0.35">
      <c r="A42" s="312"/>
      <c r="B42" s="315" t="s">
        <v>502</v>
      </c>
      <c r="C42" s="303"/>
      <c r="D42" s="323"/>
      <c r="E42" s="577"/>
      <c r="F42" s="317"/>
      <c r="G42" s="473"/>
    </row>
    <row r="43" spans="1:7" s="304" customFormat="1" ht="16" customHeight="1" x14ac:dyDescent="0.35">
      <c r="A43" s="312"/>
      <c r="B43" s="307" t="s">
        <v>503</v>
      </c>
      <c r="C43" s="308"/>
      <c r="D43" s="322"/>
      <c r="E43" s="577"/>
      <c r="F43" s="317"/>
      <c r="G43" s="473"/>
    </row>
    <row r="44" spans="1:7" s="306" customFormat="1" ht="46.5" x14ac:dyDescent="0.35">
      <c r="A44" s="314"/>
      <c r="B44" s="179" t="s">
        <v>353</v>
      </c>
      <c r="C44" s="311"/>
      <c r="D44" s="341"/>
      <c r="E44" s="379"/>
      <c r="F44" s="317"/>
      <c r="G44" s="329"/>
    </row>
    <row r="45" spans="1:7" s="306" customFormat="1" ht="46.5" x14ac:dyDescent="0.35">
      <c r="A45" s="314"/>
      <c r="B45" s="179" t="s">
        <v>354</v>
      </c>
      <c r="C45" s="311"/>
      <c r="D45" s="341"/>
      <c r="E45" s="379"/>
      <c r="F45" s="317"/>
      <c r="G45" s="329"/>
    </row>
    <row r="46" spans="1:7" s="306" customFormat="1" ht="46.5" x14ac:dyDescent="0.35">
      <c r="A46" s="314"/>
      <c r="B46" s="179" t="s">
        <v>355</v>
      </c>
      <c r="C46" s="311"/>
      <c r="D46" s="341"/>
      <c r="E46" s="379"/>
      <c r="F46" s="317"/>
      <c r="G46" s="329"/>
    </row>
    <row r="47" spans="1:7" s="306" customFormat="1" ht="46.5" x14ac:dyDescent="0.35">
      <c r="A47" s="314"/>
      <c r="B47" s="179" t="s">
        <v>356</v>
      </c>
      <c r="C47" s="311"/>
      <c r="D47" s="341"/>
      <c r="E47" s="379"/>
      <c r="F47" s="317"/>
      <c r="G47" s="329"/>
    </row>
    <row r="48" spans="1:7" s="306" customFormat="1" ht="46.5" x14ac:dyDescent="0.35">
      <c r="A48" s="314"/>
      <c r="B48" s="179" t="s">
        <v>357</v>
      </c>
      <c r="C48" s="311"/>
      <c r="D48" s="341"/>
      <c r="E48" s="379"/>
      <c r="F48" s="317"/>
      <c r="G48" s="329"/>
    </row>
    <row r="49" spans="1:7" s="306" customFormat="1" ht="46.5" x14ac:dyDescent="0.35">
      <c r="A49" s="314"/>
      <c r="B49" s="179" t="s">
        <v>358</v>
      </c>
      <c r="C49" s="311"/>
      <c r="D49" s="341"/>
      <c r="E49" s="379"/>
      <c r="F49" s="317"/>
      <c r="G49" s="329"/>
    </row>
    <row r="50" spans="1:7" s="306" customFormat="1" ht="46.5" x14ac:dyDescent="0.35">
      <c r="A50" s="314"/>
      <c r="B50" s="179" t="s">
        <v>359</v>
      </c>
      <c r="C50" s="311"/>
      <c r="D50" s="341"/>
      <c r="E50" s="379"/>
      <c r="F50" s="317"/>
      <c r="G50" s="329"/>
    </row>
    <row r="51" spans="1:7" s="306" customFormat="1" ht="46.5" x14ac:dyDescent="0.35">
      <c r="A51" s="314"/>
      <c r="B51" s="179" t="s">
        <v>360</v>
      </c>
      <c r="C51" s="311"/>
      <c r="D51" s="341"/>
      <c r="E51" s="379"/>
      <c r="F51" s="317"/>
      <c r="G51" s="329"/>
    </row>
    <row r="52" spans="1:7" s="306" customFormat="1" ht="46.5" x14ac:dyDescent="0.35">
      <c r="A52" s="314"/>
      <c r="B52" s="179" t="s">
        <v>361</v>
      </c>
      <c r="C52" s="311"/>
      <c r="D52" s="341"/>
      <c r="E52" s="379"/>
      <c r="F52" s="317"/>
      <c r="G52" s="329"/>
    </row>
    <row r="53" spans="1:7" s="306" customFormat="1" ht="46.5" x14ac:dyDescent="0.35">
      <c r="A53" s="314"/>
      <c r="B53" s="179" t="s">
        <v>362</v>
      </c>
      <c r="C53" s="311"/>
      <c r="D53" s="341"/>
      <c r="E53" s="379"/>
      <c r="F53" s="317"/>
      <c r="G53" s="329"/>
    </row>
    <row r="54" spans="1:7" s="306" customFormat="1" ht="46.5" x14ac:dyDescent="0.35">
      <c r="A54" s="314"/>
      <c r="B54" s="179" t="s">
        <v>363</v>
      </c>
      <c r="C54" s="311"/>
      <c r="D54" s="341"/>
      <c r="E54" s="379"/>
      <c r="F54" s="317"/>
      <c r="G54" s="329"/>
    </row>
    <row r="55" spans="1:7" s="306" customFormat="1" ht="29.25" customHeight="1" x14ac:dyDescent="0.35">
      <c r="A55" s="314"/>
      <c r="B55" s="179" t="s">
        <v>504</v>
      </c>
      <c r="C55" s="311"/>
      <c r="D55" s="341"/>
      <c r="E55" s="379"/>
      <c r="F55" s="317"/>
      <c r="G55" s="329"/>
    </row>
    <row r="56" spans="1:7" s="306" customFormat="1" ht="31" x14ac:dyDescent="0.35">
      <c r="A56" s="314"/>
      <c r="B56" s="179" t="s">
        <v>364</v>
      </c>
      <c r="C56" s="311"/>
      <c r="D56" s="341"/>
      <c r="E56" s="379"/>
      <c r="F56" s="317"/>
      <c r="G56" s="329"/>
    </row>
    <row r="57" spans="1:7" s="306" customFormat="1" ht="46.5" x14ac:dyDescent="0.35">
      <c r="A57" s="314"/>
      <c r="B57" s="179" t="s">
        <v>365</v>
      </c>
      <c r="C57" s="311"/>
      <c r="D57" s="341"/>
      <c r="E57" s="379"/>
      <c r="F57" s="317"/>
      <c r="G57" s="329"/>
    </row>
    <row r="58" spans="1:7" s="306" customFormat="1" ht="46.5" x14ac:dyDescent="0.35">
      <c r="A58" s="314"/>
      <c r="B58" s="179" t="s">
        <v>366</v>
      </c>
      <c r="C58" s="311"/>
      <c r="D58" s="341"/>
      <c r="E58" s="379"/>
      <c r="F58" s="317"/>
      <c r="G58" s="329"/>
    </row>
    <row r="59" spans="1:7" s="306" customFormat="1" ht="31" x14ac:dyDescent="0.35">
      <c r="A59" s="314"/>
      <c r="B59" s="179" t="s">
        <v>367</v>
      </c>
      <c r="C59" s="311"/>
      <c r="D59" s="341"/>
      <c r="E59" s="379"/>
      <c r="F59" s="317"/>
      <c r="G59" s="329"/>
    </row>
    <row r="60" spans="1:7" s="306" customFormat="1" ht="31" x14ac:dyDescent="0.35">
      <c r="A60" s="314"/>
      <c r="B60" s="179" t="s">
        <v>368</v>
      </c>
      <c r="C60" s="311"/>
      <c r="D60" s="341"/>
      <c r="E60" s="379"/>
      <c r="F60" s="317"/>
      <c r="G60" s="329"/>
    </row>
    <row r="61" spans="1:7" s="306" customFormat="1" ht="46.5" x14ac:dyDescent="0.35">
      <c r="A61" s="314"/>
      <c r="B61" s="179" t="s">
        <v>505</v>
      </c>
      <c r="C61" s="311"/>
      <c r="D61" s="341"/>
      <c r="E61" s="379"/>
      <c r="F61" s="317"/>
      <c r="G61" s="329"/>
    </row>
    <row r="62" spans="1:7" s="306" customFormat="1" ht="46.5" x14ac:dyDescent="0.35">
      <c r="A62" s="314"/>
      <c r="B62" s="179" t="s">
        <v>506</v>
      </c>
      <c r="C62" s="311"/>
      <c r="D62" s="341"/>
      <c r="E62" s="379"/>
      <c r="F62" s="317"/>
      <c r="G62" s="329"/>
    </row>
    <row r="63" spans="1:7" s="306" customFormat="1" x14ac:dyDescent="0.35">
      <c r="A63" s="314"/>
      <c r="B63" s="310" t="s">
        <v>369</v>
      </c>
      <c r="C63" s="311"/>
      <c r="D63" s="341"/>
      <c r="E63" s="379"/>
      <c r="F63" s="317"/>
      <c r="G63" s="329"/>
    </row>
    <row r="64" spans="1:7" s="304" customFormat="1" ht="21" customHeight="1" x14ac:dyDescent="0.35">
      <c r="A64" s="312"/>
      <c r="B64" s="309" t="s">
        <v>507</v>
      </c>
      <c r="C64" s="303"/>
      <c r="D64" s="323"/>
      <c r="E64" s="379"/>
      <c r="F64" s="317"/>
      <c r="G64" s="473"/>
    </row>
    <row r="65" spans="1:7" s="304" customFormat="1" ht="28" customHeight="1" x14ac:dyDescent="0.35">
      <c r="A65" s="316" t="s">
        <v>334</v>
      </c>
      <c r="B65" s="566" t="s">
        <v>508</v>
      </c>
      <c r="C65" s="308"/>
      <c r="D65" s="323" t="b">
        <v>0</v>
      </c>
      <c r="E65" s="379">
        <v>5</v>
      </c>
      <c r="F65" s="317">
        <f t="shared" ref="F65" si="0">IF(D65,E65,0)</f>
        <v>0</v>
      </c>
      <c r="G65" s="578"/>
    </row>
    <row r="66" spans="1:7" s="306" customFormat="1" x14ac:dyDescent="0.35">
      <c r="A66" s="314"/>
      <c r="B66" s="310" t="s">
        <v>509</v>
      </c>
      <c r="C66" s="495">
        <v>1</v>
      </c>
      <c r="D66" s="341"/>
      <c r="E66" s="379"/>
      <c r="F66" s="317"/>
      <c r="G66" s="329"/>
    </row>
    <row r="67" spans="1:7" s="304" customFormat="1" ht="22" customHeight="1" x14ac:dyDescent="0.35">
      <c r="A67" s="316" t="s">
        <v>335</v>
      </c>
      <c r="B67" s="566" t="s">
        <v>510</v>
      </c>
      <c r="C67" s="303"/>
      <c r="D67" s="323" t="b">
        <v>0</v>
      </c>
      <c r="E67" s="379">
        <v>5</v>
      </c>
      <c r="F67" s="317">
        <f t="shared" ref="F67" si="1">IF(D67,E67,0)</f>
        <v>0</v>
      </c>
      <c r="G67" s="483"/>
    </row>
    <row r="68" spans="1:7" s="306" customFormat="1" x14ac:dyDescent="0.35">
      <c r="A68" s="314"/>
      <c r="B68" s="310" t="s">
        <v>511</v>
      </c>
      <c r="C68" s="311"/>
      <c r="D68" s="341"/>
      <c r="E68" s="379"/>
      <c r="F68" s="317"/>
      <c r="G68" s="329"/>
    </row>
    <row r="69" spans="1:7" s="306" customFormat="1" x14ac:dyDescent="0.35">
      <c r="A69" s="314"/>
      <c r="B69" s="310" t="s">
        <v>512</v>
      </c>
      <c r="C69" s="311"/>
      <c r="D69" s="341"/>
      <c r="E69" s="379"/>
      <c r="F69" s="317"/>
      <c r="G69" s="329"/>
    </row>
    <row r="70" spans="1:7" s="306" customFormat="1" x14ac:dyDescent="0.35">
      <c r="A70" s="314"/>
      <c r="B70" s="310" t="s">
        <v>513</v>
      </c>
      <c r="C70" s="311"/>
      <c r="D70" s="341"/>
      <c r="E70" s="379"/>
      <c r="F70" s="317"/>
      <c r="G70" s="329"/>
    </row>
    <row r="71" spans="1:7" s="306" customFormat="1" x14ac:dyDescent="0.35">
      <c r="A71" s="314"/>
      <c r="B71" s="310" t="s">
        <v>514</v>
      </c>
      <c r="C71" s="311"/>
      <c r="D71" s="341"/>
      <c r="E71" s="379"/>
      <c r="F71" s="317"/>
      <c r="G71" s="329"/>
    </row>
    <row r="72" spans="1:7" s="306" customFormat="1" x14ac:dyDescent="0.35">
      <c r="A72" s="314"/>
      <c r="B72" s="310" t="s">
        <v>515</v>
      </c>
      <c r="C72" s="311"/>
      <c r="D72" s="341"/>
      <c r="E72" s="379"/>
      <c r="F72" s="317"/>
      <c r="G72" s="329"/>
    </row>
    <row r="73" spans="1:7" s="306" customFormat="1" x14ac:dyDescent="0.35">
      <c r="A73" s="314"/>
      <c r="B73" s="310" t="s">
        <v>516</v>
      </c>
      <c r="C73" s="311"/>
      <c r="D73" s="341"/>
      <c r="E73" s="379"/>
      <c r="F73" s="317"/>
      <c r="G73" s="329"/>
    </row>
    <row r="74" spans="1:7" s="306" customFormat="1" x14ac:dyDescent="0.35">
      <c r="A74" s="314"/>
      <c r="B74" s="310" t="s">
        <v>517</v>
      </c>
      <c r="C74" s="311"/>
      <c r="D74" s="341"/>
      <c r="E74" s="379"/>
      <c r="F74" s="317"/>
      <c r="G74" s="329"/>
    </row>
    <row r="75" spans="1:7" s="306" customFormat="1" x14ac:dyDescent="0.35">
      <c r="A75" s="314"/>
      <c r="B75" s="310" t="s">
        <v>518</v>
      </c>
      <c r="C75" s="311"/>
      <c r="D75" s="341"/>
      <c r="E75" s="379"/>
      <c r="F75" s="317"/>
      <c r="G75" s="329"/>
    </row>
    <row r="76" spans="1:7" s="306" customFormat="1" x14ac:dyDescent="0.35">
      <c r="A76" s="314"/>
      <c r="B76" s="310" t="s">
        <v>519</v>
      </c>
      <c r="C76" s="311"/>
      <c r="D76" s="341"/>
      <c r="E76" s="379"/>
      <c r="F76" s="317"/>
      <c r="G76" s="329"/>
    </row>
    <row r="77" spans="1:7" s="306" customFormat="1" x14ac:dyDescent="0.35">
      <c r="A77" s="314"/>
      <c r="B77" s="310" t="s">
        <v>520</v>
      </c>
      <c r="C77" s="311"/>
      <c r="D77" s="341"/>
      <c r="E77" s="379"/>
      <c r="F77" s="317"/>
      <c r="G77" s="329"/>
    </row>
    <row r="78" spans="1:7" ht="26.25" customHeight="1" x14ac:dyDescent="0.35">
      <c r="A78" s="630" t="s">
        <v>205</v>
      </c>
      <c r="B78" s="631"/>
      <c r="C78" s="318"/>
      <c r="D78" s="579"/>
      <c r="E78" s="380"/>
      <c r="F78" s="317"/>
      <c r="G78" s="473"/>
    </row>
    <row r="79" spans="1:7" ht="30.75" customHeight="1" x14ac:dyDescent="0.35">
      <c r="A79" s="160" t="s">
        <v>336</v>
      </c>
      <c r="B79" s="506" t="s">
        <v>257</v>
      </c>
      <c r="C79" s="506"/>
      <c r="D79" s="264" t="b">
        <v>0</v>
      </c>
      <c r="E79" s="380">
        <v>10</v>
      </c>
      <c r="F79" s="317">
        <f t="shared" ref="F79:F89" si="2">IF(D79,E79,0)</f>
        <v>0</v>
      </c>
      <c r="G79" s="483"/>
    </row>
    <row r="80" spans="1:7" ht="24" customHeight="1" x14ac:dyDescent="0.35">
      <c r="A80" s="160"/>
      <c r="B80" s="506"/>
      <c r="C80" s="506"/>
      <c r="D80" s="324" t="s">
        <v>330</v>
      </c>
      <c r="E80" s="380"/>
      <c r="F80" s="317"/>
      <c r="G80" s="483"/>
    </row>
    <row r="81" spans="1:10" ht="22.5" customHeight="1" x14ac:dyDescent="0.35">
      <c r="A81" s="160" t="s">
        <v>71</v>
      </c>
      <c r="B81" s="325" t="s">
        <v>206</v>
      </c>
      <c r="C81" s="319">
        <v>1</v>
      </c>
      <c r="D81" s="265" t="b">
        <v>0</v>
      </c>
      <c r="E81" s="380">
        <v>10</v>
      </c>
      <c r="F81" s="317">
        <f t="shared" si="2"/>
        <v>0</v>
      </c>
      <c r="G81" s="483"/>
      <c r="I81" s="140">
        <f>IF(D81,1,0)</f>
        <v>0</v>
      </c>
    </row>
    <row r="82" spans="1:10" ht="30" customHeight="1" x14ac:dyDescent="0.35">
      <c r="A82" s="169"/>
      <c r="B82" s="172"/>
      <c r="C82" s="320" t="s">
        <v>191</v>
      </c>
      <c r="D82" s="265" t="b">
        <v>0</v>
      </c>
      <c r="E82" s="401">
        <f>0.85*E81</f>
        <v>8.5</v>
      </c>
      <c r="F82" s="317">
        <f t="shared" si="2"/>
        <v>0</v>
      </c>
      <c r="G82" s="483"/>
      <c r="H82" s="287" t="str">
        <f>IF(J83&gt;1,"Entry error, select one answer","")</f>
        <v/>
      </c>
      <c r="I82" s="140">
        <f t="shared" ref="I82:I83" si="3">IF(D82,1,0)</f>
        <v>0</v>
      </c>
    </row>
    <row r="83" spans="1:10" ht="22.5" customHeight="1" x14ac:dyDescent="0.35">
      <c r="A83" s="169"/>
      <c r="B83" s="506"/>
      <c r="C83" s="320" t="s">
        <v>192</v>
      </c>
      <c r="D83" s="265" t="b">
        <v>0</v>
      </c>
      <c r="E83" s="401">
        <f>E81*0.75</f>
        <v>7.5</v>
      </c>
      <c r="F83" s="317">
        <f t="shared" si="2"/>
        <v>0</v>
      </c>
      <c r="G83" s="483"/>
      <c r="I83" s="140">
        <f t="shared" si="3"/>
        <v>0</v>
      </c>
      <c r="J83" s="140">
        <f>SUM(I81:I83)</f>
        <v>0</v>
      </c>
    </row>
    <row r="84" spans="1:10" ht="24" customHeight="1" x14ac:dyDescent="0.35">
      <c r="A84" s="160" t="s">
        <v>194</v>
      </c>
      <c r="B84" s="506" t="s">
        <v>258</v>
      </c>
      <c r="C84" s="506"/>
      <c r="D84" s="265" t="b">
        <v>0</v>
      </c>
      <c r="E84" s="380">
        <v>10</v>
      </c>
      <c r="F84" s="317">
        <f t="shared" si="2"/>
        <v>0</v>
      </c>
      <c r="G84" s="483"/>
    </row>
    <row r="85" spans="1:10" ht="24" customHeight="1" x14ac:dyDescent="0.35">
      <c r="A85" s="160"/>
      <c r="B85" s="506"/>
      <c r="C85" s="506"/>
      <c r="D85" s="324" t="s">
        <v>330</v>
      </c>
      <c r="E85" s="380"/>
      <c r="F85" s="317"/>
      <c r="G85" s="483"/>
    </row>
    <row r="86" spans="1:10" ht="21.75" customHeight="1" x14ac:dyDescent="0.35">
      <c r="A86" s="160" t="s">
        <v>195</v>
      </c>
      <c r="B86" s="325" t="s">
        <v>202</v>
      </c>
      <c r="C86" s="319">
        <v>1</v>
      </c>
      <c r="D86" s="265" t="b">
        <v>0</v>
      </c>
      <c r="E86" s="381">
        <v>10</v>
      </c>
      <c r="F86" s="317">
        <f t="shared" si="2"/>
        <v>0</v>
      </c>
      <c r="G86" s="483"/>
      <c r="I86" s="140">
        <f>IF(D86,1,0)</f>
        <v>0</v>
      </c>
    </row>
    <row r="87" spans="1:10" ht="28" customHeight="1" x14ac:dyDescent="0.35">
      <c r="A87" s="169"/>
      <c r="B87" s="172"/>
      <c r="C87" s="320" t="s">
        <v>191</v>
      </c>
      <c r="D87" s="265" t="b">
        <v>0</v>
      </c>
      <c r="E87" s="402">
        <f>0.85*E86</f>
        <v>8.5</v>
      </c>
      <c r="F87" s="317">
        <f t="shared" si="2"/>
        <v>0</v>
      </c>
      <c r="G87" s="483"/>
      <c r="H87" s="287" t="str">
        <f>IF(J88&gt;1,"Entry error, select one answer","")</f>
        <v/>
      </c>
      <c r="I87" s="140">
        <f t="shared" ref="I87:I88" si="4">IF(D87,1,0)</f>
        <v>0</v>
      </c>
    </row>
    <row r="88" spans="1:10" ht="24" customHeight="1" x14ac:dyDescent="0.35">
      <c r="A88" s="169"/>
      <c r="B88" s="506"/>
      <c r="C88" s="320" t="s">
        <v>192</v>
      </c>
      <c r="D88" s="273" t="b">
        <v>0</v>
      </c>
      <c r="E88" s="401">
        <f>E86*0.75</f>
        <v>7.5</v>
      </c>
      <c r="F88" s="317">
        <f t="shared" si="2"/>
        <v>0</v>
      </c>
      <c r="G88" s="483"/>
      <c r="I88" s="140">
        <f t="shared" si="4"/>
        <v>0</v>
      </c>
      <c r="J88" s="140">
        <f>SUM(I86:I88)</f>
        <v>0</v>
      </c>
    </row>
    <row r="89" spans="1:10" customFormat="1" ht="37.5" customHeight="1" x14ac:dyDescent="0.35">
      <c r="A89" s="35" t="s">
        <v>196</v>
      </c>
      <c r="B89" s="565" t="s">
        <v>235</v>
      </c>
      <c r="C89" s="503"/>
      <c r="D89" s="508" t="b">
        <v>0</v>
      </c>
      <c r="E89" s="382">
        <v>10</v>
      </c>
      <c r="F89" s="317">
        <f t="shared" si="2"/>
        <v>0</v>
      </c>
      <c r="G89" s="483"/>
    </row>
    <row r="90" spans="1:10" ht="21.75" customHeight="1" x14ac:dyDescent="0.35">
      <c r="A90" s="605" t="s">
        <v>203</v>
      </c>
      <c r="B90" s="632"/>
      <c r="C90" s="507"/>
      <c r="D90" s="265"/>
      <c r="E90" s="382"/>
      <c r="F90" s="317"/>
      <c r="G90" s="473"/>
    </row>
    <row r="91" spans="1:10" ht="31" customHeight="1" x14ac:dyDescent="0.35">
      <c r="A91" s="35"/>
      <c r="B91" s="507" t="s">
        <v>204</v>
      </c>
      <c r="C91" s="507"/>
      <c r="D91" s="326"/>
      <c r="E91" s="382"/>
      <c r="F91" s="317"/>
      <c r="G91" s="473"/>
    </row>
    <row r="92" spans="1:10" ht="37.5" customHeight="1" x14ac:dyDescent="0.35">
      <c r="A92" s="35" t="s">
        <v>337</v>
      </c>
      <c r="B92" s="504" t="s">
        <v>524</v>
      </c>
      <c r="C92" s="505"/>
      <c r="D92" s="580" t="b">
        <v>0</v>
      </c>
      <c r="E92" s="382">
        <v>5</v>
      </c>
      <c r="F92" s="317">
        <f t="shared" ref="F92:F95" si="5">IF(D92,E92,0)</f>
        <v>0</v>
      </c>
      <c r="G92" s="483"/>
    </row>
    <row r="93" spans="1:10" ht="37.5" customHeight="1" x14ac:dyDescent="0.35">
      <c r="A93" s="35" t="s">
        <v>521</v>
      </c>
      <c r="B93" s="504" t="s">
        <v>525</v>
      </c>
      <c r="C93" s="581"/>
      <c r="D93" s="580" t="b">
        <v>0</v>
      </c>
      <c r="E93" s="382">
        <v>5</v>
      </c>
      <c r="F93" s="317">
        <f t="shared" si="5"/>
        <v>0</v>
      </c>
      <c r="G93" s="483"/>
    </row>
    <row r="94" spans="1:10" ht="37.5" customHeight="1" x14ac:dyDescent="0.35">
      <c r="A94" s="35" t="s">
        <v>522</v>
      </c>
      <c r="B94" s="581" t="s">
        <v>527</v>
      </c>
      <c r="C94" s="581"/>
      <c r="D94" s="580" t="b">
        <v>0</v>
      </c>
      <c r="E94" s="382">
        <v>5</v>
      </c>
      <c r="F94" s="317">
        <f t="shared" si="5"/>
        <v>0</v>
      </c>
      <c r="G94" s="483"/>
    </row>
    <row r="95" spans="1:10" ht="37.5" customHeight="1" thickBot="1" x14ac:dyDescent="0.4">
      <c r="A95" s="35" t="s">
        <v>523</v>
      </c>
      <c r="B95" s="504" t="s">
        <v>526</v>
      </c>
      <c r="C95" s="581"/>
      <c r="D95" s="580" t="b">
        <v>0</v>
      </c>
      <c r="E95" s="382">
        <v>5</v>
      </c>
      <c r="F95" s="317">
        <f t="shared" si="5"/>
        <v>0</v>
      </c>
      <c r="G95" s="483"/>
    </row>
    <row r="96" spans="1:10" ht="16.5" thickTop="1" thickBot="1" x14ac:dyDescent="0.4">
      <c r="A96" s="194"/>
      <c r="B96" s="397"/>
      <c r="C96" s="398"/>
      <c r="D96" s="398"/>
      <c r="G96" s="304"/>
    </row>
    <row r="97" spans="2:7" ht="16" thickBot="1" x14ac:dyDescent="0.4">
      <c r="B97" s="623" t="s">
        <v>32</v>
      </c>
      <c r="C97" s="624"/>
      <c r="D97" s="327">
        <f>F97/E97</f>
        <v>0</v>
      </c>
      <c r="E97" s="189">
        <f>IF(shiptypenum&lt;5,SUM(E92:E95)+E81+E84+E86+E89+SUM(E8:E79),IF(shiptypenum=8,SUM(E92:E95)+E81+E84+E86+E89+SUM(E8:E79),IF(shiptypenum&gt;10,SUM(E81+E84+E86+E89+SUM(E8:E79)),SUM(E81+E84+E86+E89+SUM(E92:E95)+SUM(E8:E79)))))</f>
        <v>139</v>
      </c>
      <c r="F97" s="189">
        <f>SUM(F8:F95)</f>
        <v>0</v>
      </c>
      <c r="G97" s="304"/>
    </row>
    <row r="98" spans="2:7" ht="16.5" customHeight="1" x14ac:dyDescent="0.35">
      <c r="G98" s="304"/>
    </row>
    <row r="99" spans="2:7" ht="16" thickBot="1" x14ac:dyDescent="0.4">
      <c r="G99" s="304"/>
    </row>
    <row r="100" spans="2:7" ht="96.75" customHeight="1" thickBot="1" x14ac:dyDescent="0.4">
      <c r="B100" s="618" t="s">
        <v>48</v>
      </c>
      <c r="C100" s="621"/>
      <c r="D100" s="622"/>
      <c r="G100" s="304"/>
    </row>
    <row r="101" spans="2:7" x14ac:dyDescent="0.35">
      <c r="G101" s="304"/>
    </row>
    <row r="102" spans="2:7" x14ac:dyDescent="0.35">
      <c r="G102" s="304"/>
    </row>
    <row r="103" spans="2:7" x14ac:dyDescent="0.35">
      <c r="G103" s="304"/>
    </row>
  </sheetData>
  <mergeCells count="7">
    <mergeCell ref="A78:B78"/>
    <mergeCell ref="A90:B90"/>
    <mergeCell ref="B97:C97"/>
    <mergeCell ref="B100:D100"/>
    <mergeCell ref="A4:C4"/>
    <mergeCell ref="A5:C5"/>
    <mergeCell ref="A6:B6"/>
  </mergeCells>
  <phoneticPr fontId="16" type="noConversion"/>
  <conditionalFormatting sqref="H87">
    <cfRule type="expression" dxfId="7" priority="2">
      <formula>J88&gt;1</formula>
    </cfRule>
  </conditionalFormatting>
  <conditionalFormatting sqref="H82">
    <cfRule type="expression" dxfId="6" priority="1">
      <formula>J83&gt;1</formula>
    </cfRule>
  </conditionalFormatting>
  <pageMargins left="0.7" right="0.7" top="0.75" bottom="0.75" header="0.3" footer="0.3"/>
  <pageSetup scale="49" fitToHeight="10" orientation="portrait" r:id="rId1"/>
  <headerFooter>
    <oddHeader>&amp;LMetric 4.2 
Fitness Equipment</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47" r:id="rId4" name="Check Box 27">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6" r:id="rId5" name="Check Box 96">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8" r:id="rId6" name="Check Box 98">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19" r:id="rId7" name="Check Box 99">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20" r:id="rId8" name="Check Box 100">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21" r:id="rId9" name="Check Box 101">
              <controlPr defaultSize="0" autoFill="0" autoLine="0" autoPict="0">
                <anchor moveWithCells="1">
                  <from>
                    <xdr:col>3</xdr:col>
                    <xdr:colOff>419100</xdr:colOff>
                    <xdr:row>22</xdr:row>
                    <xdr:rowOff>0</xdr:rowOff>
                  </from>
                  <to>
                    <xdr:col>3</xdr:col>
                    <xdr:colOff>609600</xdr:colOff>
                    <xdr:row>22</xdr:row>
                    <xdr:rowOff>209550</xdr:rowOff>
                  </to>
                </anchor>
              </controlPr>
            </control>
          </mc:Choice>
        </mc:AlternateContent>
        <mc:AlternateContent xmlns:mc="http://schemas.openxmlformats.org/markup-compatibility/2006">
          <mc:Choice Requires="x14">
            <control shapeId="56422" r:id="rId10" name="Check Box 102">
              <controlPr defaultSize="0" autoFill="0" autoLine="0" autoPict="0">
                <anchor moveWithCells="1">
                  <from>
                    <xdr:col>3</xdr:col>
                    <xdr:colOff>419100</xdr:colOff>
                    <xdr:row>7</xdr:row>
                    <xdr:rowOff>0</xdr:rowOff>
                  </from>
                  <to>
                    <xdr:col>3</xdr:col>
                    <xdr:colOff>609600</xdr:colOff>
                    <xdr:row>7</xdr:row>
                    <xdr:rowOff>209550</xdr:rowOff>
                  </to>
                </anchor>
              </controlPr>
            </control>
          </mc:Choice>
        </mc:AlternateContent>
        <mc:AlternateContent xmlns:mc="http://schemas.openxmlformats.org/markup-compatibility/2006">
          <mc:Choice Requires="x14">
            <control shapeId="56423" r:id="rId11" name="Check Box 103">
              <controlPr defaultSize="0" autoFill="0" autoLine="0" autoPict="0">
                <anchor moveWithCells="1">
                  <from>
                    <xdr:col>3</xdr:col>
                    <xdr:colOff>419100</xdr:colOff>
                    <xdr:row>22</xdr:row>
                    <xdr:rowOff>0</xdr:rowOff>
                  </from>
                  <to>
                    <xdr:col>3</xdr:col>
                    <xdr:colOff>609600</xdr:colOff>
                    <xdr:row>22</xdr:row>
                    <xdr:rowOff>209550</xdr:rowOff>
                  </to>
                </anchor>
              </controlPr>
            </control>
          </mc:Choice>
        </mc:AlternateContent>
        <mc:AlternateContent xmlns:mc="http://schemas.openxmlformats.org/markup-compatibility/2006">
          <mc:Choice Requires="x14">
            <control shapeId="56424" r:id="rId12" name="Check Box 104">
              <controlPr defaultSize="0" autoFill="0" autoLine="0" autoPict="0">
                <anchor moveWithCells="1">
                  <from>
                    <xdr:col>3</xdr:col>
                    <xdr:colOff>425450</xdr:colOff>
                    <xdr:row>77</xdr:row>
                    <xdr:rowOff>304800</xdr:rowOff>
                  </from>
                  <to>
                    <xdr:col>3</xdr:col>
                    <xdr:colOff>635000</xdr:colOff>
                    <xdr:row>78</xdr:row>
                    <xdr:rowOff>228600</xdr:rowOff>
                  </to>
                </anchor>
              </controlPr>
            </control>
          </mc:Choice>
        </mc:AlternateContent>
        <mc:AlternateContent xmlns:mc="http://schemas.openxmlformats.org/markup-compatibility/2006">
          <mc:Choice Requires="x14">
            <control shapeId="56425" r:id="rId13" name="Check Box 105">
              <controlPr defaultSize="0" autoFill="0" autoLine="0" autoPict="0">
                <anchor moveWithCells="1">
                  <from>
                    <xdr:col>3</xdr:col>
                    <xdr:colOff>412750</xdr:colOff>
                    <xdr:row>80</xdr:row>
                    <xdr:rowOff>38100</xdr:rowOff>
                  </from>
                  <to>
                    <xdr:col>3</xdr:col>
                    <xdr:colOff>628650</xdr:colOff>
                    <xdr:row>80</xdr:row>
                    <xdr:rowOff>279400</xdr:rowOff>
                  </to>
                </anchor>
              </controlPr>
            </control>
          </mc:Choice>
        </mc:AlternateContent>
        <mc:AlternateContent xmlns:mc="http://schemas.openxmlformats.org/markup-compatibility/2006">
          <mc:Choice Requires="x14">
            <control shapeId="56426" r:id="rId14" name="Check Box 106">
              <controlPr defaultSize="0" autoFill="0" autoLine="0" autoPict="0">
                <anchor moveWithCells="1">
                  <from>
                    <xdr:col>3</xdr:col>
                    <xdr:colOff>400050</xdr:colOff>
                    <xdr:row>81</xdr:row>
                    <xdr:rowOff>69850</xdr:rowOff>
                  </from>
                  <to>
                    <xdr:col>3</xdr:col>
                    <xdr:colOff>654050</xdr:colOff>
                    <xdr:row>82</xdr:row>
                    <xdr:rowOff>0</xdr:rowOff>
                  </to>
                </anchor>
              </controlPr>
            </control>
          </mc:Choice>
        </mc:AlternateContent>
        <mc:AlternateContent xmlns:mc="http://schemas.openxmlformats.org/markup-compatibility/2006">
          <mc:Choice Requires="x14">
            <control shapeId="56427" r:id="rId15" name="Check Box 107">
              <controlPr defaultSize="0" autoFill="0" autoLine="0" autoPict="0">
                <anchor moveWithCells="1">
                  <from>
                    <xdr:col>3</xdr:col>
                    <xdr:colOff>400050</xdr:colOff>
                    <xdr:row>82</xdr:row>
                    <xdr:rowOff>6350</xdr:rowOff>
                  </from>
                  <to>
                    <xdr:col>3</xdr:col>
                    <xdr:colOff>628650</xdr:colOff>
                    <xdr:row>82</xdr:row>
                    <xdr:rowOff>266700</xdr:rowOff>
                  </to>
                </anchor>
              </controlPr>
            </control>
          </mc:Choice>
        </mc:AlternateContent>
        <mc:AlternateContent xmlns:mc="http://schemas.openxmlformats.org/markup-compatibility/2006">
          <mc:Choice Requires="x14">
            <control shapeId="56428" r:id="rId16" name="Check Box 108">
              <controlPr defaultSize="0" autoFill="0" autoLine="0" autoPict="0">
                <anchor moveWithCells="1">
                  <from>
                    <xdr:col>3</xdr:col>
                    <xdr:colOff>406400</xdr:colOff>
                    <xdr:row>83</xdr:row>
                    <xdr:rowOff>19050</xdr:rowOff>
                  </from>
                  <to>
                    <xdr:col>3</xdr:col>
                    <xdr:colOff>615950</xdr:colOff>
                    <xdr:row>83</xdr:row>
                    <xdr:rowOff>279400</xdr:rowOff>
                  </to>
                </anchor>
              </controlPr>
            </control>
          </mc:Choice>
        </mc:AlternateContent>
        <mc:AlternateContent xmlns:mc="http://schemas.openxmlformats.org/markup-compatibility/2006">
          <mc:Choice Requires="x14">
            <control shapeId="56429" r:id="rId17" name="Check Box 109">
              <controlPr defaultSize="0" autoFill="0" autoLine="0" autoPict="0">
                <anchor moveWithCells="1">
                  <from>
                    <xdr:col>3</xdr:col>
                    <xdr:colOff>412750</xdr:colOff>
                    <xdr:row>85</xdr:row>
                    <xdr:rowOff>31750</xdr:rowOff>
                  </from>
                  <to>
                    <xdr:col>3</xdr:col>
                    <xdr:colOff>615950</xdr:colOff>
                    <xdr:row>86</xdr:row>
                    <xdr:rowOff>69850</xdr:rowOff>
                  </to>
                </anchor>
              </controlPr>
            </control>
          </mc:Choice>
        </mc:AlternateContent>
        <mc:AlternateContent xmlns:mc="http://schemas.openxmlformats.org/markup-compatibility/2006">
          <mc:Choice Requires="x14">
            <control shapeId="56430" r:id="rId18" name="Check Box 110">
              <controlPr defaultSize="0" autoFill="0" autoLine="0" autoPict="0">
                <anchor moveWithCells="1">
                  <from>
                    <xdr:col>3</xdr:col>
                    <xdr:colOff>406400</xdr:colOff>
                    <xdr:row>86</xdr:row>
                    <xdr:rowOff>69850</xdr:rowOff>
                  </from>
                  <to>
                    <xdr:col>3</xdr:col>
                    <xdr:colOff>660400</xdr:colOff>
                    <xdr:row>87</xdr:row>
                    <xdr:rowOff>12700</xdr:rowOff>
                  </to>
                </anchor>
              </controlPr>
            </control>
          </mc:Choice>
        </mc:AlternateContent>
        <mc:AlternateContent xmlns:mc="http://schemas.openxmlformats.org/markup-compatibility/2006">
          <mc:Choice Requires="x14">
            <control shapeId="56431" r:id="rId19" name="Check Box 111">
              <controlPr defaultSize="0" autoFill="0" autoLine="0" autoPict="0">
                <anchor moveWithCells="1">
                  <from>
                    <xdr:col>3</xdr:col>
                    <xdr:colOff>406400</xdr:colOff>
                    <xdr:row>87</xdr:row>
                    <xdr:rowOff>31750</xdr:rowOff>
                  </from>
                  <to>
                    <xdr:col>3</xdr:col>
                    <xdr:colOff>577850</xdr:colOff>
                    <xdr:row>87</xdr:row>
                    <xdr:rowOff>184150</xdr:rowOff>
                  </to>
                </anchor>
              </controlPr>
            </control>
          </mc:Choice>
        </mc:AlternateContent>
        <mc:AlternateContent xmlns:mc="http://schemas.openxmlformats.org/markup-compatibility/2006">
          <mc:Choice Requires="x14">
            <control shapeId="56432" r:id="rId20" name="Check Box 112">
              <controlPr defaultSize="0" autoFill="0" autoLine="0" autoPict="0">
                <anchor moveWithCells="1">
                  <from>
                    <xdr:col>3</xdr:col>
                    <xdr:colOff>406400</xdr:colOff>
                    <xdr:row>88</xdr:row>
                    <xdr:rowOff>57150</xdr:rowOff>
                  </from>
                  <to>
                    <xdr:col>3</xdr:col>
                    <xdr:colOff>596900</xdr:colOff>
                    <xdr:row>88</xdr:row>
                    <xdr:rowOff>336550</xdr:rowOff>
                  </to>
                </anchor>
              </controlPr>
            </control>
          </mc:Choice>
        </mc:AlternateContent>
        <mc:AlternateContent xmlns:mc="http://schemas.openxmlformats.org/markup-compatibility/2006">
          <mc:Choice Requires="x14">
            <control shapeId="56433" r:id="rId21" name="Check Box 113">
              <controlPr defaultSize="0" autoFill="0" autoLine="0" autoPict="0">
                <anchor moveWithCells="1">
                  <from>
                    <xdr:col>3</xdr:col>
                    <xdr:colOff>158750</xdr:colOff>
                    <xdr:row>8</xdr:row>
                    <xdr:rowOff>6350</xdr:rowOff>
                  </from>
                  <to>
                    <xdr:col>3</xdr:col>
                    <xdr:colOff>311150</xdr:colOff>
                    <xdr:row>8</xdr:row>
                    <xdr:rowOff>177800</xdr:rowOff>
                  </to>
                </anchor>
              </controlPr>
            </control>
          </mc:Choice>
        </mc:AlternateContent>
        <mc:AlternateContent xmlns:mc="http://schemas.openxmlformats.org/markup-compatibility/2006">
          <mc:Choice Requires="x14">
            <control shapeId="56434" r:id="rId22" name="Check Box 114">
              <controlPr defaultSize="0" autoFill="0" autoLine="0" autoPict="0">
                <anchor moveWithCells="1">
                  <from>
                    <xdr:col>3</xdr:col>
                    <xdr:colOff>171450</xdr:colOff>
                    <xdr:row>11</xdr:row>
                    <xdr:rowOff>190500</xdr:rowOff>
                  </from>
                  <to>
                    <xdr:col>3</xdr:col>
                    <xdr:colOff>336550</xdr:colOff>
                    <xdr:row>12</xdr:row>
                    <xdr:rowOff>190500</xdr:rowOff>
                  </to>
                </anchor>
              </controlPr>
            </control>
          </mc:Choice>
        </mc:AlternateContent>
        <mc:AlternateContent xmlns:mc="http://schemas.openxmlformats.org/markup-compatibility/2006">
          <mc:Choice Requires="x14">
            <control shapeId="56435" r:id="rId23" name="Check Box 115">
              <controlPr defaultSize="0" autoFill="0" autoLine="0" autoPict="0">
                <anchor moveWithCells="1">
                  <from>
                    <xdr:col>3</xdr:col>
                    <xdr:colOff>177800</xdr:colOff>
                    <xdr:row>15</xdr:row>
                    <xdr:rowOff>12700</xdr:rowOff>
                  </from>
                  <to>
                    <xdr:col>3</xdr:col>
                    <xdr:colOff>342900</xdr:colOff>
                    <xdr:row>15</xdr:row>
                    <xdr:rowOff>190500</xdr:rowOff>
                  </to>
                </anchor>
              </controlPr>
            </control>
          </mc:Choice>
        </mc:AlternateContent>
        <mc:AlternateContent xmlns:mc="http://schemas.openxmlformats.org/markup-compatibility/2006">
          <mc:Choice Requires="x14">
            <control shapeId="56436" r:id="rId24" name="Check Box 116">
              <controlPr defaultSize="0" autoFill="0" autoLine="0" autoPict="0">
                <anchor moveWithCells="1">
                  <from>
                    <xdr:col>3</xdr:col>
                    <xdr:colOff>476250</xdr:colOff>
                    <xdr:row>28</xdr:row>
                    <xdr:rowOff>88900</xdr:rowOff>
                  </from>
                  <to>
                    <xdr:col>3</xdr:col>
                    <xdr:colOff>673100</xdr:colOff>
                    <xdr:row>28</xdr:row>
                    <xdr:rowOff>323850</xdr:rowOff>
                  </to>
                </anchor>
              </controlPr>
            </control>
          </mc:Choice>
        </mc:AlternateContent>
        <mc:AlternateContent xmlns:mc="http://schemas.openxmlformats.org/markup-compatibility/2006">
          <mc:Choice Requires="x14">
            <control shapeId="56437" r:id="rId25" name="Check Box 117">
              <controlPr defaultSize="0" autoFill="0" autoLine="0" autoPict="0">
                <anchor moveWithCells="1">
                  <from>
                    <xdr:col>3</xdr:col>
                    <xdr:colOff>196850</xdr:colOff>
                    <xdr:row>64</xdr:row>
                    <xdr:rowOff>139700</xdr:rowOff>
                  </from>
                  <to>
                    <xdr:col>3</xdr:col>
                    <xdr:colOff>463550</xdr:colOff>
                    <xdr:row>64</xdr:row>
                    <xdr:rowOff>298450</xdr:rowOff>
                  </to>
                </anchor>
              </controlPr>
            </control>
          </mc:Choice>
        </mc:AlternateContent>
        <mc:AlternateContent xmlns:mc="http://schemas.openxmlformats.org/markup-compatibility/2006">
          <mc:Choice Requires="x14">
            <control shapeId="56438" r:id="rId26" name="Check Box 118">
              <controlPr defaultSize="0" autoFill="0" autoLine="0" autoPict="0">
                <anchor moveWithCells="1">
                  <from>
                    <xdr:col>3</xdr:col>
                    <xdr:colOff>177800</xdr:colOff>
                    <xdr:row>66</xdr:row>
                    <xdr:rowOff>57150</xdr:rowOff>
                  </from>
                  <to>
                    <xdr:col>3</xdr:col>
                    <xdr:colOff>450850</xdr:colOff>
                    <xdr:row>66</xdr:row>
                    <xdr:rowOff>254000</xdr:rowOff>
                  </to>
                </anchor>
              </controlPr>
            </control>
          </mc:Choice>
        </mc:AlternateContent>
        <mc:AlternateContent xmlns:mc="http://schemas.openxmlformats.org/markup-compatibility/2006">
          <mc:Choice Requires="x14">
            <control shapeId="56439" r:id="rId27" name="Check Box 119">
              <controlPr defaultSize="0" autoFill="0" autoLine="0" autoPict="0">
                <anchor moveWithCells="1">
                  <from>
                    <xdr:col>3</xdr:col>
                    <xdr:colOff>355600</xdr:colOff>
                    <xdr:row>91</xdr:row>
                    <xdr:rowOff>171450</xdr:rowOff>
                  </from>
                  <to>
                    <xdr:col>3</xdr:col>
                    <xdr:colOff>533400</xdr:colOff>
                    <xdr:row>91</xdr:row>
                    <xdr:rowOff>412750</xdr:rowOff>
                  </to>
                </anchor>
              </controlPr>
            </control>
          </mc:Choice>
        </mc:AlternateContent>
        <mc:AlternateContent xmlns:mc="http://schemas.openxmlformats.org/markup-compatibility/2006">
          <mc:Choice Requires="x14">
            <control shapeId="56440" r:id="rId28" name="Check Box 120">
              <controlPr defaultSize="0" autoFill="0" autoLine="0" autoPict="0">
                <anchor moveWithCells="1">
                  <from>
                    <xdr:col>3</xdr:col>
                    <xdr:colOff>336550</xdr:colOff>
                    <xdr:row>92</xdr:row>
                    <xdr:rowOff>177800</xdr:rowOff>
                  </from>
                  <to>
                    <xdr:col>3</xdr:col>
                    <xdr:colOff>520700</xdr:colOff>
                    <xdr:row>92</xdr:row>
                    <xdr:rowOff>381000</xdr:rowOff>
                  </to>
                </anchor>
              </controlPr>
            </control>
          </mc:Choice>
        </mc:AlternateContent>
        <mc:AlternateContent xmlns:mc="http://schemas.openxmlformats.org/markup-compatibility/2006">
          <mc:Choice Requires="x14">
            <control shapeId="56441" r:id="rId29" name="Check Box 121">
              <controlPr defaultSize="0" autoFill="0" autoLine="0" autoPict="0">
                <anchor moveWithCells="1">
                  <from>
                    <xdr:col>3</xdr:col>
                    <xdr:colOff>336550</xdr:colOff>
                    <xdr:row>93</xdr:row>
                    <xdr:rowOff>171450</xdr:rowOff>
                  </from>
                  <to>
                    <xdr:col>3</xdr:col>
                    <xdr:colOff>501650</xdr:colOff>
                    <xdr:row>93</xdr:row>
                    <xdr:rowOff>393700</xdr:rowOff>
                  </to>
                </anchor>
              </controlPr>
            </control>
          </mc:Choice>
        </mc:AlternateContent>
        <mc:AlternateContent xmlns:mc="http://schemas.openxmlformats.org/markup-compatibility/2006">
          <mc:Choice Requires="x14">
            <control shapeId="56442" r:id="rId30" name="Check Box 122">
              <controlPr defaultSize="0" autoFill="0" autoLine="0" autoPict="0">
                <anchor moveWithCells="1">
                  <from>
                    <xdr:col>3</xdr:col>
                    <xdr:colOff>336550</xdr:colOff>
                    <xdr:row>94</xdr:row>
                    <xdr:rowOff>165100</xdr:rowOff>
                  </from>
                  <to>
                    <xdr:col>3</xdr:col>
                    <xdr:colOff>520700</xdr:colOff>
                    <xdr:row>94</xdr:row>
                    <xdr:rowOff>412750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N35"/>
  <sheetViews>
    <sheetView zoomScaleNormal="100" zoomScaleSheetLayoutView="100" workbookViewId="0">
      <selection activeCell="G7" sqref="G7:G22"/>
    </sheetView>
  </sheetViews>
  <sheetFormatPr defaultRowHeight="15.5" x14ac:dyDescent="0.35"/>
  <cols>
    <col min="1" max="1" width="11.7265625" style="11" customWidth="1"/>
    <col min="2" max="2" width="62.26953125" style="2" customWidth="1"/>
    <col min="3" max="3" width="16.26953125" style="9" customWidth="1"/>
    <col min="4" max="4" width="12.7265625" style="25" customWidth="1"/>
    <col min="5" max="5" width="12.7265625" customWidth="1"/>
    <col min="6" max="6" width="14.1796875" hidden="1" customWidth="1"/>
    <col min="7" max="7" width="30.7265625" style="20" customWidth="1"/>
    <col min="8" max="8" width="22.7265625" customWidth="1"/>
    <col min="9" max="10" width="0" hidden="1" customWidth="1"/>
  </cols>
  <sheetData>
    <row r="1" spans="1:10" x14ac:dyDescent="0.35">
      <c r="A1" s="586" t="s">
        <v>1</v>
      </c>
      <c r="B1" s="586"/>
      <c r="C1" s="586"/>
      <c r="G1" s="463" t="s">
        <v>412</v>
      </c>
    </row>
    <row r="2" spans="1:10" x14ac:dyDescent="0.35">
      <c r="A2" s="42"/>
      <c r="B2" s="42"/>
      <c r="C2" s="500" t="s">
        <v>470</v>
      </c>
      <c r="G2" s="464" t="str">
        <f>VLOOKUP(shiptypenum,shiptbl,2,FALSE)</f>
        <v>LPD</v>
      </c>
    </row>
    <row r="3" spans="1:10" ht="18.75" customHeight="1" x14ac:dyDescent="0.35">
      <c r="A3" s="53" t="s">
        <v>44</v>
      </c>
      <c r="B3" s="7"/>
      <c r="C3" s="7"/>
    </row>
    <row r="4" spans="1:10" ht="36.75" customHeight="1" x14ac:dyDescent="0.35">
      <c r="A4" s="209"/>
      <c r="B4" s="71" t="s">
        <v>481</v>
      </c>
      <c r="C4" s="71"/>
      <c r="D4" s="50"/>
      <c r="E4" s="50"/>
      <c r="F4" s="50"/>
      <c r="G4" s="474"/>
    </row>
    <row r="5" spans="1:10" ht="36.75" customHeight="1" x14ac:dyDescent="0.35">
      <c r="B5" s="639" t="s">
        <v>480</v>
      </c>
      <c r="C5" s="639"/>
      <c r="D5" s="72"/>
    </row>
    <row r="6" spans="1:10" ht="36.75" customHeight="1" thickBot="1" x14ac:dyDescent="0.4">
      <c r="B6" s="71"/>
      <c r="C6" s="208"/>
      <c r="D6" s="72"/>
    </row>
    <row r="7" spans="1:10" ht="31.5" customHeight="1" thickTop="1" thickBot="1" x14ac:dyDescent="0.4">
      <c r="A7" s="61"/>
      <c r="B7" s="60"/>
      <c r="C7" s="23" t="s">
        <v>26</v>
      </c>
      <c r="D7" s="22" t="s">
        <v>24</v>
      </c>
      <c r="E7" s="22" t="s">
        <v>25</v>
      </c>
      <c r="F7" s="189" t="s">
        <v>128</v>
      </c>
      <c r="G7" s="483"/>
    </row>
    <row r="8" spans="1:10" ht="24" customHeight="1" thickTop="1" x14ac:dyDescent="0.35">
      <c r="A8" s="490" t="s">
        <v>224</v>
      </c>
      <c r="B8" s="499"/>
      <c r="C8" s="457"/>
      <c r="D8" s="22"/>
      <c r="E8" s="22"/>
      <c r="F8" s="22"/>
      <c r="G8" s="473"/>
    </row>
    <row r="9" spans="1:10" ht="54.75" customHeight="1" x14ac:dyDescent="0.35">
      <c r="A9" s="35" t="s">
        <v>2</v>
      </c>
      <c r="B9" s="210" t="s">
        <v>238</v>
      </c>
      <c r="C9" s="264" t="b">
        <v>0</v>
      </c>
      <c r="D9" s="22">
        <v>10</v>
      </c>
      <c r="E9" s="22">
        <f t="shared" ref="E9" si="0">IF(C9,D9,0)</f>
        <v>0</v>
      </c>
      <c r="F9" s="25"/>
      <c r="G9" s="483"/>
    </row>
    <row r="10" spans="1:10" ht="21.75" customHeight="1" x14ac:dyDescent="0.35">
      <c r="A10" s="196" t="s">
        <v>240</v>
      </c>
      <c r="B10" s="151"/>
      <c r="C10" s="285"/>
      <c r="E10" s="22"/>
      <c r="F10" s="25"/>
      <c r="G10" s="473"/>
    </row>
    <row r="11" spans="1:10" ht="51" customHeight="1" x14ac:dyDescent="0.35">
      <c r="A11" s="35" t="s">
        <v>3</v>
      </c>
      <c r="B11" s="45" t="s">
        <v>241</v>
      </c>
      <c r="C11" s="264" t="b">
        <v>0</v>
      </c>
      <c r="D11" s="22">
        <v>8</v>
      </c>
      <c r="E11" s="22">
        <f>IF(C11,D11,0)</f>
        <v>0</v>
      </c>
      <c r="F11" s="25"/>
      <c r="G11" s="483"/>
      <c r="I11" s="144"/>
    </row>
    <row r="12" spans="1:10" ht="55.5" customHeight="1" x14ac:dyDescent="0.35">
      <c r="A12" s="35" t="s">
        <v>33</v>
      </c>
      <c r="B12" s="45" t="s">
        <v>242</v>
      </c>
      <c r="C12" s="264" t="b">
        <v>0</v>
      </c>
      <c r="D12" s="22">
        <v>8</v>
      </c>
      <c r="E12" s="22">
        <f>IF(C12,D12,0)</f>
        <v>0</v>
      </c>
      <c r="F12" s="25"/>
      <c r="G12" s="483"/>
    </row>
    <row r="13" spans="1:10" ht="48.75" customHeight="1" x14ac:dyDescent="0.35">
      <c r="A13" s="35"/>
      <c r="B13" s="56" t="s">
        <v>208</v>
      </c>
      <c r="C13" s="458" t="s">
        <v>466</v>
      </c>
      <c r="D13" s="22"/>
      <c r="E13" s="22"/>
      <c r="F13" s="25"/>
      <c r="G13" s="483"/>
    </row>
    <row r="14" spans="1:10" ht="42" customHeight="1" x14ac:dyDescent="0.35">
      <c r="A14" s="35" t="s">
        <v>34</v>
      </c>
      <c r="B14" s="200" t="s">
        <v>483</v>
      </c>
      <c r="C14" s="264" t="b">
        <v>0</v>
      </c>
      <c r="D14" s="22">
        <v>10</v>
      </c>
      <c r="E14" s="22">
        <f>IF(C14,D14,0)</f>
        <v>0</v>
      </c>
      <c r="F14" s="25"/>
      <c r="G14" s="483"/>
      <c r="I14">
        <f>IF(C14,1,0)</f>
        <v>0</v>
      </c>
    </row>
    <row r="15" spans="1:10" ht="41.25" customHeight="1" x14ac:dyDescent="0.35">
      <c r="A15" s="35"/>
      <c r="B15" s="200" t="s">
        <v>484</v>
      </c>
      <c r="C15" s="264" t="b">
        <v>0</v>
      </c>
      <c r="D15" s="22">
        <v>7.5</v>
      </c>
      <c r="E15" s="22">
        <f>IF(C15,D15,0)</f>
        <v>0</v>
      </c>
      <c r="F15" s="25"/>
      <c r="G15" s="483"/>
      <c r="H15" s="287" t="str">
        <f>IF(J15&gt;1,"Entry error, select one answer","")</f>
        <v/>
      </c>
      <c r="I15">
        <f>IF(C15,1,0)</f>
        <v>0</v>
      </c>
      <c r="J15">
        <f>SUM(I14:I15)</f>
        <v>0</v>
      </c>
    </row>
    <row r="16" spans="1:10" ht="41.25" customHeight="1" x14ac:dyDescent="0.35">
      <c r="A16" s="35"/>
      <c r="B16" s="478" t="s">
        <v>467</v>
      </c>
      <c r="C16" s="264" t="b">
        <v>0</v>
      </c>
      <c r="D16" s="22"/>
      <c r="E16" s="22"/>
      <c r="F16" s="199">
        <f>IF(C16,D18,0)</f>
        <v>0</v>
      </c>
      <c r="G16" s="483"/>
      <c r="I16">
        <f>IF(C16,1,0)</f>
        <v>0</v>
      </c>
    </row>
    <row r="17" spans="1:14" ht="24" customHeight="1" x14ac:dyDescent="0.35">
      <c r="A17" s="31"/>
      <c r="B17" s="282" t="s">
        <v>243</v>
      </c>
      <c r="C17" s="285"/>
      <c r="D17" s="22"/>
      <c r="E17" s="22"/>
      <c r="F17" s="25"/>
      <c r="G17" s="483"/>
    </row>
    <row r="18" spans="1:14" ht="55.5" customHeight="1" x14ac:dyDescent="0.35">
      <c r="A18" s="197" t="s">
        <v>4</v>
      </c>
      <c r="B18" s="283" t="s">
        <v>244</v>
      </c>
      <c r="C18" s="264" t="b">
        <v>0</v>
      </c>
      <c r="D18" s="22">
        <v>5</v>
      </c>
      <c r="E18" s="22">
        <f>IF(C18,D18,0)</f>
        <v>0</v>
      </c>
      <c r="F18" s="25"/>
      <c r="G18" s="483"/>
      <c r="H18" s="287" t="str">
        <f>IF(J18&gt;1,"Skip 5.1.5 if ship has a ship's store","")</f>
        <v/>
      </c>
      <c r="I18">
        <f>IF(C18,1,0)</f>
        <v>0</v>
      </c>
      <c r="J18">
        <f>SUM(I16:I18)</f>
        <v>0</v>
      </c>
    </row>
    <row r="19" spans="1:14" ht="31.5" customHeight="1" x14ac:dyDescent="0.35">
      <c r="A19" s="628" t="s">
        <v>207</v>
      </c>
      <c r="B19" s="629"/>
      <c r="C19" s="285"/>
      <c r="D19" s="22"/>
      <c r="E19" s="22"/>
      <c r="F19" s="22"/>
      <c r="G19" s="483"/>
    </row>
    <row r="20" spans="1:14" ht="45" customHeight="1" x14ac:dyDescent="0.35">
      <c r="A20" s="35" t="s">
        <v>5</v>
      </c>
      <c r="B20" s="489" t="s">
        <v>239</v>
      </c>
      <c r="C20" s="264" t="b">
        <v>0</v>
      </c>
      <c r="D20" s="22">
        <v>5</v>
      </c>
      <c r="E20" s="22">
        <f>IF(C20,D20,0)</f>
        <v>0</v>
      </c>
      <c r="F20" s="25"/>
      <c r="G20" s="483"/>
    </row>
    <row r="21" spans="1:14" ht="45" customHeight="1" thickBot="1" x14ac:dyDescent="0.4">
      <c r="A21" s="35" t="s">
        <v>6</v>
      </c>
      <c r="B21" s="489" t="s">
        <v>237</v>
      </c>
      <c r="C21" s="264" t="b">
        <v>0</v>
      </c>
      <c r="D21" s="22">
        <v>7</v>
      </c>
      <c r="E21" s="22">
        <f>IF(C21,D21,0)</f>
        <v>0</v>
      </c>
      <c r="F21" s="25"/>
      <c r="G21" s="483"/>
    </row>
    <row r="22" spans="1:14" ht="16.5" thickTop="1" thickBot="1" x14ac:dyDescent="0.4">
      <c r="A22" s="74"/>
      <c r="B22" s="399"/>
      <c r="C22" s="8"/>
      <c r="D22" s="22"/>
      <c r="E22" s="22"/>
      <c r="G22" s="484"/>
    </row>
    <row r="23" spans="1:14" ht="16" thickBot="1" x14ac:dyDescent="0.4">
      <c r="B23" s="10" t="s">
        <v>32</v>
      </c>
      <c r="C23" s="252">
        <f>E23/(D23-F23)</f>
        <v>0</v>
      </c>
      <c r="D23" s="22">
        <f>SUM(D18:D21)+D14+D12+D11+D9</f>
        <v>53</v>
      </c>
      <c r="E23" s="22">
        <f>SUM(E9:E21)</f>
        <v>0</v>
      </c>
      <c r="F23" s="22">
        <f>SUM(F9:F21)</f>
        <v>0</v>
      </c>
      <c r="G23" s="484"/>
    </row>
    <row r="24" spans="1:14" ht="16" thickBot="1" x14ac:dyDescent="0.4">
      <c r="G24" s="486"/>
    </row>
    <row r="25" spans="1:14" ht="150.75" customHeight="1" thickBot="1" x14ac:dyDescent="0.4">
      <c r="B25" s="635" t="s">
        <v>46</v>
      </c>
      <c r="C25" s="636"/>
      <c r="G25" s="486"/>
    </row>
    <row r="26" spans="1:14" x14ac:dyDescent="0.35">
      <c r="C26" s="14"/>
    </row>
    <row r="27" spans="1:14" x14ac:dyDescent="0.35">
      <c r="B27" s="15"/>
      <c r="C27" s="14"/>
    </row>
    <row r="28" spans="1:14" ht="14.5" x14ac:dyDescent="0.35">
      <c r="A28" s="637"/>
      <c r="B28" s="638"/>
      <c r="C28" s="638"/>
      <c r="D28" s="638"/>
      <c r="E28" s="638"/>
      <c r="F28" s="638"/>
      <c r="G28" s="638"/>
      <c r="H28" s="638"/>
      <c r="I28" s="638"/>
      <c r="J28" s="638"/>
      <c r="K28" s="638"/>
      <c r="L28" s="638"/>
      <c r="M28" s="638"/>
      <c r="N28" s="638"/>
    </row>
    <row r="29" spans="1:14" x14ac:dyDescent="0.35">
      <c r="B29" s="634"/>
      <c r="C29" s="634"/>
      <c r="D29" s="634"/>
      <c r="E29" s="634"/>
      <c r="F29" s="634"/>
      <c r="G29" s="634"/>
      <c r="H29" s="634"/>
      <c r="I29" s="634"/>
    </row>
    <row r="30" spans="1:14" x14ac:dyDescent="0.35">
      <c r="B30"/>
      <c r="C30"/>
      <c r="D30"/>
    </row>
    <row r="31" spans="1:14" x14ac:dyDescent="0.35">
      <c r="B31" s="634"/>
      <c r="C31" s="634"/>
      <c r="D31" s="634"/>
      <c r="E31" s="634"/>
      <c r="F31" s="634"/>
      <c r="G31" s="634"/>
      <c r="H31" s="634"/>
      <c r="I31" s="634"/>
    </row>
    <row r="32" spans="1:14" x14ac:dyDescent="0.35">
      <c r="B32"/>
      <c r="C32"/>
      <c r="D32"/>
    </row>
    <row r="33" spans="2:9" x14ac:dyDescent="0.35">
      <c r="B33" s="634"/>
      <c r="C33" s="634"/>
      <c r="D33" s="634"/>
      <c r="E33" s="634"/>
      <c r="F33" s="634"/>
      <c r="G33" s="634"/>
      <c r="H33" s="634"/>
      <c r="I33" s="634"/>
    </row>
    <row r="34" spans="2:9" x14ac:dyDescent="0.35">
      <c r="B34"/>
      <c r="C34"/>
      <c r="D34"/>
    </row>
    <row r="35" spans="2:9" x14ac:dyDescent="0.35">
      <c r="B35" s="634"/>
      <c r="C35" s="634"/>
      <c r="D35" s="634"/>
      <c r="E35" s="634"/>
      <c r="F35" s="634"/>
      <c r="G35" s="634"/>
    </row>
  </sheetData>
  <mergeCells count="9">
    <mergeCell ref="B33:I33"/>
    <mergeCell ref="B35:G35"/>
    <mergeCell ref="B29:I29"/>
    <mergeCell ref="B31:I31"/>
    <mergeCell ref="A1:C1"/>
    <mergeCell ref="B25:C25"/>
    <mergeCell ref="A28:N28"/>
    <mergeCell ref="A19:B19"/>
    <mergeCell ref="B5:C5"/>
  </mergeCells>
  <phoneticPr fontId="16" type="noConversion"/>
  <conditionalFormatting sqref="H15">
    <cfRule type="expression" dxfId="5" priority="2">
      <formula>J15&gt;1</formula>
    </cfRule>
  </conditionalFormatting>
  <conditionalFormatting sqref="H18">
    <cfRule type="expression" dxfId="4" priority="1">
      <formula>J18&gt;1</formula>
    </cfRule>
  </conditionalFormatting>
  <pageMargins left="0.7" right="0.7" top="0.75" bottom="0.75" header="0.3" footer="0.3"/>
  <pageSetup scale="60" fitToHeight="10" orientation="portrait" r:id="rId1"/>
  <headerFooter>
    <oddHeader>&amp;LMetric 5.1 
Administration</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43" r:id="rId4" name="Check Box 27">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9245" r:id="rId5" name="Check Box 29">
              <controlPr defaultSize="0" autoFill="0" autoLine="0" autoPict="0">
                <anchor moveWithCells="1">
                  <from>
                    <xdr:col>2</xdr:col>
                    <xdr:colOff>419100</xdr:colOff>
                    <xdr:row>10</xdr:row>
                    <xdr:rowOff>0</xdr:rowOff>
                  </from>
                  <to>
                    <xdr:col>2</xdr:col>
                    <xdr:colOff>609600</xdr:colOff>
                    <xdr:row>10</xdr:row>
                    <xdr:rowOff>209550</xdr:rowOff>
                  </to>
                </anchor>
              </controlPr>
            </control>
          </mc:Choice>
        </mc:AlternateContent>
        <mc:AlternateContent xmlns:mc="http://schemas.openxmlformats.org/markup-compatibility/2006">
          <mc:Choice Requires="x14">
            <control shapeId="9246" r:id="rId6" name="Check Box 30">
              <controlPr defaultSize="0" autoFill="0" autoLine="0" autoPict="0">
                <anchor moveWithCells="1">
                  <from>
                    <xdr:col>2</xdr:col>
                    <xdr:colOff>419100</xdr:colOff>
                    <xdr:row>11</xdr:row>
                    <xdr:rowOff>0</xdr:rowOff>
                  </from>
                  <to>
                    <xdr:col>2</xdr:col>
                    <xdr:colOff>609600</xdr:colOff>
                    <xdr:row>11</xdr:row>
                    <xdr:rowOff>209550</xdr:rowOff>
                  </to>
                </anchor>
              </controlPr>
            </control>
          </mc:Choice>
        </mc:AlternateContent>
        <mc:AlternateContent xmlns:mc="http://schemas.openxmlformats.org/markup-compatibility/2006">
          <mc:Choice Requires="x14">
            <control shapeId="9248" r:id="rId7" name="Check Box 32">
              <controlPr defaultSize="0" autoFill="0" autoLine="0" autoPict="0">
                <anchor moveWithCells="1">
                  <from>
                    <xdr:col>2</xdr:col>
                    <xdr:colOff>419100</xdr:colOff>
                    <xdr:row>13</xdr:row>
                    <xdr:rowOff>0</xdr:rowOff>
                  </from>
                  <to>
                    <xdr:col>2</xdr:col>
                    <xdr:colOff>609600</xdr:colOff>
                    <xdr:row>13</xdr:row>
                    <xdr:rowOff>209550</xdr:rowOff>
                  </to>
                </anchor>
              </controlPr>
            </control>
          </mc:Choice>
        </mc:AlternateContent>
        <mc:AlternateContent xmlns:mc="http://schemas.openxmlformats.org/markup-compatibility/2006">
          <mc:Choice Requires="x14">
            <control shapeId="9249" r:id="rId8" name="Check Box 33">
              <controlPr defaultSize="0" autoFill="0" autoLine="0" autoPict="0">
                <anchor moveWithCells="1">
                  <from>
                    <xdr:col>2</xdr:col>
                    <xdr:colOff>419100</xdr:colOff>
                    <xdr:row>14</xdr:row>
                    <xdr:rowOff>0</xdr:rowOff>
                  </from>
                  <to>
                    <xdr:col>2</xdr:col>
                    <xdr:colOff>609600</xdr:colOff>
                    <xdr:row>14</xdr:row>
                    <xdr:rowOff>209550</xdr:rowOff>
                  </to>
                </anchor>
              </controlPr>
            </control>
          </mc:Choice>
        </mc:AlternateContent>
        <mc:AlternateContent xmlns:mc="http://schemas.openxmlformats.org/markup-compatibility/2006">
          <mc:Choice Requires="x14">
            <control shapeId="9251" r:id="rId9" name="Check Box 35">
              <controlPr defaultSize="0" autoFill="0" autoLine="0" autoPict="0">
                <anchor moveWithCells="1">
                  <from>
                    <xdr:col>2</xdr:col>
                    <xdr:colOff>419100</xdr:colOff>
                    <xdr:row>17</xdr:row>
                    <xdr:rowOff>0</xdr:rowOff>
                  </from>
                  <to>
                    <xdr:col>2</xdr:col>
                    <xdr:colOff>609600</xdr:colOff>
                    <xdr:row>17</xdr:row>
                    <xdr:rowOff>209550</xdr:rowOff>
                  </to>
                </anchor>
              </controlPr>
            </control>
          </mc:Choice>
        </mc:AlternateContent>
        <mc:AlternateContent xmlns:mc="http://schemas.openxmlformats.org/markup-compatibility/2006">
          <mc:Choice Requires="x14">
            <control shapeId="9253" r:id="rId10" name="Check Box 37">
              <controlPr defaultSize="0" autoFill="0" autoLine="0" autoPict="0">
                <anchor moveWithCells="1">
                  <from>
                    <xdr:col>2</xdr:col>
                    <xdr:colOff>419100</xdr:colOff>
                    <xdr:row>19</xdr:row>
                    <xdr:rowOff>0</xdr:rowOff>
                  </from>
                  <to>
                    <xdr:col>2</xdr:col>
                    <xdr:colOff>609600</xdr:colOff>
                    <xdr:row>19</xdr:row>
                    <xdr:rowOff>209550</xdr:rowOff>
                  </to>
                </anchor>
              </controlPr>
            </control>
          </mc:Choice>
        </mc:AlternateContent>
        <mc:AlternateContent xmlns:mc="http://schemas.openxmlformats.org/markup-compatibility/2006">
          <mc:Choice Requires="x14">
            <control shapeId="9254" r:id="rId11" name="Check Box 38">
              <controlPr defaultSize="0" autoFill="0" autoLine="0" autoPict="0">
                <anchor moveWithCells="1">
                  <from>
                    <xdr:col>2</xdr:col>
                    <xdr:colOff>419100</xdr:colOff>
                    <xdr:row>20</xdr:row>
                    <xdr:rowOff>0</xdr:rowOff>
                  </from>
                  <to>
                    <xdr:col>2</xdr:col>
                    <xdr:colOff>609600</xdr:colOff>
                    <xdr:row>20</xdr:row>
                    <xdr:rowOff>209550</xdr:rowOff>
                  </to>
                </anchor>
              </controlPr>
            </control>
          </mc:Choice>
        </mc:AlternateContent>
        <mc:AlternateContent xmlns:mc="http://schemas.openxmlformats.org/markup-compatibility/2006">
          <mc:Choice Requires="x14">
            <control shapeId="9272" r:id="rId12" name="Check Box 56">
              <controlPr defaultSize="0" autoFill="0" autoLine="0" autoPict="0">
                <anchor moveWithCells="1">
                  <from>
                    <xdr:col>2</xdr:col>
                    <xdr:colOff>419100</xdr:colOff>
                    <xdr:row>15</xdr:row>
                    <xdr:rowOff>0</xdr:rowOff>
                  </from>
                  <to>
                    <xdr:col>2</xdr:col>
                    <xdr:colOff>609600</xdr:colOff>
                    <xdr:row>15</xdr:row>
                    <xdr:rowOff>209550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BJ73"/>
  <sheetViews>
    <sheetView topLeftCell="AB1" zoomScaleNormal="100" zoomScaleSheetLayoutView="106" workbookViewId="0">
      <selection activeCell="AR5" sqref="AR5"/>
    </sheetView>
  </sheetViews>
  <sheetFormatPr defaultColWidth="12.453125" defaultRowHeight="15.5" x14ac:dyDescent="0.35"/>
  <cols>
    <col min="1" max="1" width="6.81640625" style="82" customWidth="1"/>
    <col min="2" max="2" width="12.453125" style="82" customWidth="1"/>
    <col min="3" max="3" width="6.7265625" style="82" customWidth="1"/>
    <col min="4" max="4" width="11.26953125" style="83" customWidth="1"/>
    <col min="5" max="5" width="15.26953125" style="82" customWidth="1"/>
    <col min="6" max="10" width="3.26953125" style="82" customWidth="1"/>
    <col min="11" max="11" width="9.26953125" style="82" customWidth="1"/>
    <col min="12" max="12" width="9.54296875" style="82" customWidth="1"/>
    <col min="13" max="13" width="8.54296875" style="82" customWidth="1"/>
    <col min="14" max="14" width="9.453125" style="82" customWidth="1"/>
    <col min="15" max="15" width="9" style="82" customWidth="1"/>
    <col min="16" max="16" width="12.453125" style="83" customWidth="1"/>
    <col min="17" max="17" width="12.453125" style="223" customWidth="1"/>
    <col min="18" max="19" width="3.26953125" style="83" customWidth="1"/>
    <col min="20" max="20" width="6.7265625" style="82" customWidth="1"/>
    <col min="21" max="21" width="7.7265625" style="82" customWidth="1"/>
    <col min="22" max="22" width="12.1796875" style="82" customWidth="1"/>
    <col min="23" max="23" width="12.453125" style="82" customWidth="1"/>
    <col min="24" max="24" width="9" style="82" customWidth="1"/>
    <col min="25" max="25" width="6.7265625" style="82" customWidth="1"/>
    <col min="26" max="27" width="12.453125" style="82" customWidth="1"/>
    <col min="28" max="28" width="6" style="82" customWidth="1"/>
    <col min="29" max="30" width="13.1796875" style="82" customWidth="1"/>
    <col min="31" max="31" width="8.7265625" style="82" customWidth="1"/>
    <col min="32" max="32" width="7" style="82" customWidth="1"/>
    <col min="33" max="33" width="6" style="82" customWidth="1"/>
    <col min="34" max="34" width="12.453125" style="82" customWidth="1"/>
    <col min="35" max="35" width="6.54296875" style="82" customWidth="1"/>
    <col min="36" max="36" width="13.26953125" style="82" customWidth="1"/>
    <col min="37" max="37" width="15.26953125" style="82" customWidth="1"/>
    <col min="38" max="39" width="8.7265625" style="82" customWidth="1"/>
    <col min="40" max="40" width="10.54296875" style="82" customWidth="1"/>
    <col min="41" max="41" width="12.453125" style="82" customWidth="1"/>
    <col min="42" max="42" width="6.54296875" style="82" customWidth="1"/>
    <col min="43" max="44" width="16" style="82" customWidth="1"/>
    <col min="45" max="45" width="8.7265625" style="82" customWidth="1"/>
    <col min="46" max="46" width="9.81640625" style="82" customWidth="1"/>
    <col min="47" max="47" width="6" style="82" customWidth="1"/>
    <col min="48" max="16384" width="12.453125" style="82"/>
  </cols>
  <sheetData>
    <row r="2" spans="1:47" x14ac:dyDescent="0.35">
      <c r="A2" s="446"/>
      <c r="B2" s="85"/>
      <c r="C2" s="85"/>
      <c r="D2" s="86"/>
      <c r="E2" s="85"/>
      <c r="F2" s="87"/>
      <c r="H2" s="88"/>
      <c r="I2" s="85"/>
      <c r="J2" s="85"/>
      <c r="K2" s="85"/>
      <c r="L2" s="85"/>
      <c r="M2" s="85"/>
      <c r="N2" s="85"/>
      <c r="O2" s="85"/>
      <c r="P2" s="86"/>
      <c r="Q2" s="217"/>
      <c r="R2" s="89"/>
      <c r="T2" s="88"/>
      <c r="U2" s="85"/>
      <c r="V2" s="85"/>
      <c r="W2" s="85"/>
      <c r="X2" s="85"/>
      <c r="Y2" s="85"/>
      <c r="Z2" s="87"/>
      <c r="AB2" s="88"/>
      <c r="AC2" s="85"/>
      <c r="AD2" s="85"/>
      <c r="AE2" s="85"/>
      <c r="AF2" s="85"/>
      <c r="AG2" s="87"/>
      <c r="AI2" s="88"/>
      <c r="AJ2" s="85"/>
      <c r="AK2" s="85"/>
      <c r="AL2" s="85"/>
      <c r="AM2" s="85"/>
      <c r="AN2" s="87"/>
      <c r="AP2" s="88"/>
      <c r="AQ2" s="85"/>
      <c r="AR2" s="85"/>
      <c r="AS2" s="85"/>
      <c r="AT2" s="85"/>
      <c r="AU2" s="87"/>
    </row>
    <row r="3" spans="1:47" ht="12.75" customHeight="1" thickBot="1" x14ac:dyDescent="0.4">
      <c r="A3" s="93"/>
      <c r="B3" s="436" t="s">
        <v>440</v>
      </c>
      <c r="C3" s="436"/>
      <c r="D3" s="91"/>
      <c r="E3" s="92"/>
      <c r="F3" s="93"/>
      <c r="H3" s="84"/>
      <c r="I3" s="91"/>
      <c r="J3" s="91"/>
      <c r="K3" s="90" t="s">
        <v>63</v>
      </c>
      <c r="L3" s="90"/>
      <c r="M3" s="90"/>
      <c r="N3" s="90"/>
      <c r="O3" s="90"/>
      <c r="P3" s="94"/>
      <c r="Q3" s="218"/>
      <c r="R3" s="96"/>
      <c r="S3" s="97"/>
      <c r="T3" s="84"/>
      <c r="U3" s="90" t="s">
        <v>7</v>
      </c>
      <c r="V3" s="90"/>
      <c r="W3" s="90"/>
      <c r="X3" s="94"/>
      <c r="Y3" s="95"/>
      <c r="Z3" s="96"/>
      <c r="AB3" s="84"/>
      <c r="AC3" s="90" t="s">
        <v>8</v>
      </c>
      <c r="AD3" s="90"/>
      <c r="AE3" s="94"/>
      <c r="AF3" s="95"/>
      <c r="AG3" s="96"/>
      <c r="AI3" s="84"/>
      <c r="AJ3" s="90" t="s">
        <v>64</v>
      </c>
      <c r="AK3" s="90"/>
      <c r="AL3" s="94"/>
      <c r="AM3" s="95"/>
      <c r="AN3" s="96"/>
      <c r="AP3" s="84"/>
      <c r="AQ3" s="90" t="s">
        <v>65</v>
      </c>
      <c r="AR3" s="90"/>
      <c r="AS3" s="94"/>
      <c r="AT3" s="95"/>
      <c r="AU3" s="96"/>
    </row>
    <row r="4" spans="1:47" s="101" customFormat="1" ht="108" customHeight="1" thickBot="1" x14ac:dyDescent="0.4">
      <c r="A4" s="447"/>
      <c r="B4" s="100"/>
      <c r="C4" s="515" t="s">
        <v>9</v>
      </c>
      <c r="D4" s="99"/>
      <c r="E4" s="99"/>
      <c r="F4" s="100"/>
      <c r="H4" s="98"/>
      <c r="I4" s="99"/>
      <c r="J4" s="99"/>
      <c r="K4" s="532" t="s">
        <v>10</v>
      </c>
      <c r="L4" s="535" t="s">
        <v>11</v>
      </c>
      <c r="M4" s="515" t="s">
        <v>12</v>
      </c>
      <c r="N4" s="515" t="s">
        <v>13</v>
      </c>
      <c r="O4" s="515" t="s">
        <v>14</v>
      </c>
      <c r="P4" s="99"/>
      <c r="Q4" s="216"/>
      <c r="R4" s="100"/>
      <c r="T4" s="98"/>
      <c r="U4" s="532" t="s">
        <v>66</v>
      </c>
      <c r="V4" s="515" t="s">
        <v>15</v>
      </c>
      <c r="W4" s="515" t="s">
        <v>67</v>
      </c>
      <c r="X4" s="99"/>
      <c r="Y4" s="99"/>
      <c r="Z4" s="100"/>
      <c r="AB4" s="98"/>
      <c r="AC4" s="532" t="s">
        <v>68</v>
      </c>
      <c r="AD4" s="540" t="s">
        <v>73</v>
      </c>
      <c r="AE4" s="99"/>
      <c r="AF4" s="99"/>
      <c r="AG4" s="100"/>
      <c r="AI4" s="98"/>
      <c r="AJ4" s="532" t="s">
        <v>216</v>
      </c>
      <c r="AK4" s="515" t="s">
        <v>69</v>
      </c>
      <c r="AL4" s="99"/>
      <c r="AM4" s="99"/>
      <c r="AN4" s="100"/>
      <c r="AP4" s="98"/>
      <c r="AQ4" s="515" t="s">
        <v>217</v>
      </c>
      <c r="AR4" s="540" t="s">
        <v>245</v>
      </c>
      <c r="AS4" s="99"/>
      <c r="AT4" s="99"/>
      <c r="AU4" s="100"/>
    </row>
    <row r="5" spans="1:47" ht="16" thickBot="1" x14ac:dyDescent="0.4">
      <c r="A5" s="446"/>
      <c r="B5" s="91"/>
      <c r="C5" s="558">
        <f>Q21</f>
        <v>0</v>
      </c>
      <c r="D5" s="539" t="s">
        <v>16</v>
      </c>
      <c r="E5" s="91"/>
      <c r="F5" s="93"/>
      <c r="H5" s="84"/>
      <c r="I5" s="91"/>
      <c r="J5" s="91"/>
      <c r="K5" s="514">
        <f>Y21</f>
        <v>0</v>
      </c>
      <c r="L5" s="536">
        <f>AF21</f>
        <v>0</v>
      </c>
      <c r="M5" s="537">
        <f>AM21</f>
        <v>0</v>
      </c>
      <c r="N5" s="537">
        <f>AT21</f>
        <v>0</v>
      </c>
      <c r="O5" s="538">
        <f>'5.1 Administration'!C23</f>
        <v>0</v>
      </c>
      <c r="P5" s="539" t="s">
        <v>16</v>
      </c>
      <c r="Q5" s="218"/>
      <c r="R5" s="103"/>
      <c r="T5" s="84"/>
      <c r="U5" s="531">
        <f>'1.1 Staffing'!B199</f>
        <v>0</v>
      </c>
      <c r="V5" s="533">
        <f>'1.2 Staff Qualifications'!C13</f>
        <v>0</v>
      </c>
      <c r="W5" s="534">
        <f>'1.3 Staff Training'!C12</f>
        <v>0</v>
      </c>
      <c r="X5" s="102" t="s">
        <v>16</v>
      </c>
      <c r="Y5" s="92"/>
      <c r="Z5" s="103"/>
      <c r="AB5" s="84"/>
      <c r="AC5" s="531">
        <f>'2.1 Square Footage'!D13</f>
        <v>0</v>
      </c>
      <c r="AD5" s="541">
        <f>'2.2 Facility Quality'!C32</f>
        <v>0</v>
      </c>
      <c r="AE5" s="539" t="s">
        <v>16</v>
      </c>
      <c r="AF5" s="92"/>
      <c r="AG5" s="103"/>
      <c r="AI5" s="84"/>
      <c r="AJ5" s="552">
        <f>'3.1 Recreation Programming'!D71</f>
        <v>0</v>
      </c>
      <c r="AK5" s="551">
        <f>'3.2 Fitness Programming'!D68</f>
        <v>0</v>
      </c>
      <c r="AL5" s="539" t="s">
        <v>16</v>
      </c>
      <c r="AM5" s="92"/>
      <c r="AN5" s="103"/>
      <c r="AP5" s="84"/>
      <c r="AQ5" s="550">
        <f>'4.1 Recreation Equipment'!C25</f>
        <v>0</v>
      </c>
      <c r="AR5" s="549">
        <f>'4.2 Fitness Equipment'!D97</f>
        <v>0</v>
      </c>
      <c r="AS5" s="539" t="s">
        <v>16</v>
      </c>
      <c r="AT5" s="92"/>
      <c r="AU5" s="103"/>
    </row>
    <row r="6" spans="1:47" ht="16" thickBot="1" x14ac:dyDescent="0.4">
      <c r="A6" s="446"/>
      <c r="B6" s="91"/>
      <c r="C6" s="219"/>
      <c r="D6" s="92"/>
      <c r="E6" s="91"/>
      <c r="F6" s="93"/>
      <c r="H6" s="84"/>
      <c r="I6" s="91"/>
      <c r="J6" s="91"/>
      <c r="K6" s="219"/>
      <c r="L6" s="219"/>
      <c r="M6" s="219"/>
      <c r="N6" s="219"/>
      <c r="O6" s="219"/>
      <c r="P6" s="92"/>
      <c r="Q6" s="218"/>
      <c r="R6" s="103"/>
      <c r="T6" s="84"/>
      <c r="U6" s="219"/>
      <c r="V6" s="219"/>
      <c r="W6" s="219"/>
      <c r="X6" s="92"/>
      <c r="Y6" s="92"/>
      <c r="Z6" s="103"/>
      <c r="AB6" s="84"/>
      <c r="AC6" s="219"/>
      <c r="AD6" s="219"/>
      <c r="AE6" s="92"/>
      <c r="AF6" s="92"/>
      <c r="AG6" s="103"/>
      <c r="AI6" s="84"/>
      <c r="AJ6" s="219"/>
      <c r="AK6" s="219"/>
      <c r="AL6" s="92"/>
      <c r="AM6" s="92"/>
      <c r="AN6" s="103"/>
      <c r="AP6" s="84"/>
      <c r="AQ6" s="219"/>
      <c r="AR6" s="219"/>
      <c r="AS6" s="92"/>
      <c r="AT6" s="92"/>
      <c r="AU6" s="103"/>
    </row>
    <row r="7" spans="1:47" x14ac:dyDescent="0.35">
      <c r="A7" s="446"/>
      <c r="B7" s="517"/>
      <c r="C7" s="559">
        <v>1000</v>
      </c>
      <c r="D7" s="104">
        <v>10</v>
      </c>
      <c r="E7" s="91"/>
      <c r="F7" s="93"/>
      <c r="H7" s="84"/>
      <c r="I7" s="91"/>
      <c r="J7" s="91"/>
      <c r="K7" s="415">
        <v>1000</v>
      </c>
      <c r="L7" s="411">
        <v>1000</v>
      </c>
      <c r="M7" s="411">
        <v>1000</v>
      </c>
      <c r="N7" s="411">
        <v>1000</v>
      </c>
      <c r="O7" s="416">
        <v>100</v>
      </c>
      <c r="P7" s="104">
        <v>10</v>
      </c>
      <c r="Q7" s="218"/>
      <c r="R7" s="103"/>
      <c r="T7" s="517"/>
      <c r="U7" s="516">
        <v>100</v>
      </c>
      <c r="V7" s="411">
        <v>100</v>
      </c>
      <c r="W7" s="416">
        <v>100</v>
      </c>
      <c r="X7" s="104">
        <v>10</v>
      </c>
      <c r="Y7" s="92"/>
      <c r="Z7" s="103"/>
      <c r="AB7" s="84"/>
      <c r="AC7" s="415">
        <v>100</v>
      </c>
      <c r="AD7" s="416">
        <v>100</v>
      </c>
      <c r="AE7" s="104">
        <v>10</v>
      </c>
      <c r="AF7" s="92"/>
      <c r="AG7" s="103"/>
      <c r="AI7" s="517"/>
      <c r="AJ7" s="516">
        <v>100</v>
      </c>
      <c r="AK7" s="416">
        <v>100</v>
      </c>
      <c r="AL7" s="104">
        <v>10</v>
      </c>
      <c r="AM7" s="92"/>
      <c r="AN7" s="103"/>
      <c r="AP7" s="517"/>
      <c r="AQ7" s="516">
        <v>100</v>
      </c>
      <c r="AR7" s="416">
        <v>100</v>
      </c>
      <c r="AS7" s="104">
        <v>10</v>
      </c>
      <c r="AT7" s="92"/>
      <c r="AU7" s="103"/>
    </row>
    <row r="8" spans="1:47" x14ac:dyDescent="0.35">
      <c r="A8" s="446"/>
      <c r="B8" s="517"/>
      <c r="C8" s="560">
        <v>900</v>
      </c>
      <c r="D8" s="104">
        <v>9</v>
      </c>
      <c r="F8" s="93"/>
      <c r="H8" s="84"/>
      <c r="I8" s="91"/>
      <c r="J8" s="91"/>
      <c r="K8" s="417">
        <v>900</v>
      </c>
      <c r="L8" s="412">
        <v>900</v>
      </c>
      <c r="M8" s="412">
        <v>900</v>
      </c>
      <c r="N8" s="443">
        <v>900</v>
      </c>
      <c r="O8" s="418">
        <v>90</v>
      </c>
      <c r="P8" s="104">
        <v>9</v>
      </c>
      <c r="Q8" s="219"/>
      <c r="R8" s="103"/>
      <c r="T8" s="517"/>
      <c r="U8" s="443">
        <v>95</v>
      </c>
      <c r="V8" s="412">
        <v>95</v>
      </c>
      <c r="W8" s="529">
        <v>95</v>
      </c>
      <c r="X8" s="104">
        <v>9</v>
      </c>
      <c r="Y8" s="91"/>
      <c r="Z8" s="103"/>
      <c r="AB8" s="84"/>
      <c r="AC8" s="417">
        <v>90</v>
      </c>
      <c r="AD8" s="529">
        <v>90</v>
      </c>
      <c r="AE8" s="104">
        <v>9</v>
      </c>
      <c r="AF8" s="91"/>
      <c r="AG8" s="103"/>
      <c r="AI8" s="517"/>
      <c r="AJ8" s="443">
        <v>95</v>
      </c>
      <c r="AK8" s="529">
        <v>95</v>
      </c>
      <c r="AL8" s="104">
        <v>9</v>
      </c>
      <c r="AM8" s="91"/>
      <c r="AN8" s="103"/>
      <c r="AP8" s="517"/>
      <c r="AQ8" s="443">
        <v>90</v>
      </c>
      <c r="AR8" s="529">
        <v>90</v>
      </c>
      <c r="AS8" s="104">
        <v>9</v>
      </c>
      <c r="AT8" s="91"/>
      <c r="AU8" s="103"/>
    </row>
    <row r="9" spans="1:47" x14ac:dyDescent="0.35">
      <c r="A9" s="446"/>
      <c r="B9" s="517"/>
      <c r="C9" s="560">
        <v>800</v>
      </c>
      <c r="D9" s="104">
        <v>8</v>
      </c>
      <c r="E9" s="91"/>
      <c r="F9" s="93"/>
      <c r="H9" s="84"/>
      <c r="I9" s="91"/>
      <c r="J9" s="91"/>
      <c r="K9" s="417">
        <v>800</v>
      </c>
      <c r="L9" s="412">
        <v>800</v>
      </c>
      <c r="M9" s="412">
        <v>800</v>
      </c>
      <c r="N9" s="412">
        <v>800</v>
      </c>
      <c r="O9" s="418">
        <v>80</v>
      </c>
      <c r="P9" s="104">
        <v>8</v>
      </c>
      <c r="Q9" s="218"/>
      <c r="R9" s="103"/>
      <c r="T9" s="517"/>
      <c r="U9" s="443">
        <v>90</v>
      </c>
      <c r="V9" s="412">
        <v>90</v>
      </c>
      <c r="W9" s="529">
        <v>90</v>
      </c>
      <c r="X9" s="104">
        <v>8</v>
      </c>
      <c r="Y9" s="92"/>
      <c r="Z9" s="103"/>
      <c r="AB9" s="84"/>
      <c r="AC9" s="417">
        <v>80</v>
      </c>
      <c r="AD9" s="529">
        <v>80</v>
      </c>
      <c r="AE9" s="104">
        <v>8</v>
      </c>
      <c r="AF9" s="92"/>
      <c r="AG9" s="103"/>
      <c r="AI9" s="517"/>
      <c r="AJ9" s="443">
        <v>90</v>
      </c>
      <c r="AK9" s="529">
        <v>90</v>
      </c>
      <c r="AL9" s="104">
        <v>8</v>
      </c>
      <c r="AM9" s="92"/>
      <c r="AN9" s="103"/>
      <c r="AP9" s="517"/>
      <c r="AQ9" s="443">
        <v>80</v>
      </c>
      <c r="AR9" s="529">
        <v>80</v>
      </c>
      <c r="AS9" s="104">
        <v>8</v>
      </c>
      <c r="AT9" s="92"/>
      <c r="AU9" s="103"/>
    </row>
    <row r="10" spans="1:47" x14ac:dyDescent="0.35">
      <c r="A10" s="446"/>
      <c r="B10" s="517"/>
      <c r="C10" s="560">
        <v>700</v>
      </c>
      <c r="D10" s="104">
        <v>7</v>
      </c>
      <c r="E10" s="91"/>
      <c r="F10" s="93"/>
      <c r="H10" s="84"/>
      <c r="I10" s="91"/>
      <c r="J10" s="91"/>
      <c r="K10" s="417">
        <v>700</v>
      </c>
      <c r="L10" s="412">
        <v>700</v>
      </c>
      <c r="M10" s="412">
        <v>700</v>
      </c>
      <c r="N10" s="412">
        <v>700</v>
      </c>
      <c r="O10" s="418">
        <v>70</v>
      </c>
      <c r="P10" s="104">
        <v>7</v>
      </c>
      <c r="Q10" s="218"/>
      <c r="R10" s="103"/>
      <c r="T10" s="517"/>
      <c r="U10" s="443">
        <v>85</v>
      </c>
      <c r="V10" s="412">
        <v>85</v>
      </c>
      <c r="W10" s="529">
        <v>85</v>
      </c>
      <c r="X10" s="104">
        <v>7</v>
      </c>
      <c r="Y10" s="92"/>
      <c r="Z10" s="103"/>
      <c r="AB10" s="84"/>
      <c r="AC10" s="417">
        <v>70</v>
      </c>
      <c r="AD10" s="529">
        <v>70</v>
      </c>
      <c r="AE10" s="104">
        <v>7</v>
      </c>
      <c r="AF10" s="92"/>
      <c r="AG10" s="103"/>
      <c r="AI10" s="517"/>
      <c r="AJ10" s="443">
        <v>85</v>
      </c>
      <c r="AK10" s="529">
        <v>85</v>
      </c>
      <c r="AL10" s="104">
        <v>7</v>
      </c>
      <c r="AM10" s="92"/>
      <c r="AN10" s="103"/>
      <c r="AP10" s="517"/>
      <c r="AQ10" s="443">
        <v>70</v>
      </c>
      <c r="AR10" s="529">
        <v>70</v>
      </c>
      <c r="AS10" s="104">
        <v>7</v>
      </c>
      <c r="AT10" s="92"/>
      <c r="AU10" s="103"/>
    </row>
    <row r="11" spans="1:47" x14ac:dyDescent="0.35">
      <c r="A11" s="446"/>
      <c r="B11" s="517"/>
      <c r="C11" s="560">
        <v>600</v>
      </c>
      <c r="D11" s="104">
        <v>6</v>
      </c>
      <c r="E11" s="91"/>
      <c r="F11" s="93"/>
      <c r="H11" s="84"/>
      <c r="I11" s="91"/>
      <c r="J11" s="91"/>
      <c r="K11" s="417">
        <v>600</v>
      </c>
      <c r="L11" s="412">
        <v>600</v>
      </c>
      <c r="M11" s="412">
        <v>600</v>
      </c>
      <c r="N11" s="412">
        <v>600</v>
      </c>
      <c r="O11" s="418">
        <v>60</v>
      </c>
      <c r="P11" s="104">
        <v>6</v>
      </c>
      <c r="Q11" s="218"/>
      <c r="R11" s="103"/>
      <c r="T11" s="517"/>
      <c r="U11" s="443">
        <v>80</v>
      </c>
      <c r="V11" s="412">
        <v>80</v>
      </c>
      <c r="W11" s="529">
        <v>80</v>
      </c>
      <c r="X11" s="104">
        <v>6</v>
      </c>
      <c r="Y11" s="92"/>
      <c r="Z11" s="103"/>
      <c r="AB11" s="84"/>
      <c r="AC11" s="417">
        <v>60</v>
      </c>
      <c r="AD11" s="529">
        <v>60</v>
      </c>
      <c r="AE11" s="104">
        <v>6</v>
      </c>
      <c r="AF11" s="92"/>
      <c r="AG11" s="103"/>
      <c r="AI11" s="517"/>
      <c r="AJ11" s="443">
        <v>80</v>
      </c>
      <c r="AK11" s="529">
        <v>80</v>
      </c>
      <c r="AL11" s="104">
        <v>6</v>
      </c>
      <c r="AM11" s="92"/>
      <c r="AN11" s="103"/>
      <c r="AP11" s="517"/>
      <c r="AQ11" s="443">
        <v>60</v>
      </c>
      <c r="AR11" s="529">
        <v>60</v>
      </c>
      <c r="AS11" s="104">
        <v>6</v>
      </c>
      <c r="AT11" s="92"/>
      <c r="AU11" s="103"/>
    </row>
    <row r="12" spans="1:47" x14ac:dyDescent="0.35">
      <c r="A12" s="446"/>
      <c r="B12" s="517"/>
      <c r="C12" s="560">
        <v>500</v>
      </c>
      <c r="D12" s="104">
        <v>5</v>
      </c>
      <c r="E12" s="91"/>
      <c r="F12" s="93"/>
      <c r="H12" s="84"/>
      <c r="I12" s="91"/>
      <c r="J12" s="91"/>
      <c r="K12" s="417">
        <v>500</v>
      </c>
      <c r="L12" s="412">
        <v>500</v>
      </c>
      <c r="M12" s="412">
        <v>500</v>
      </c>
      <c r="N12" s="412">
        <v>500</v>
      </c>
      <c r="O12" s="418">
        <v>50</v>
      </c>
      <c r="P12" s="104">
        <v>5</v>
      </c>
      <c r="Q12" s="218"/>
      <c r="R12" s="103"/>
      <c r="T12" s="517"/>
      <c r="U12" s="443">
        <v>75</v>
      </c>
      <c r="V12" s="412">
        <v>75</v>
      </c>
      <c r="W12" s="529">
        <v>75</v>
      </c>
      <c r="X12" s="104">
        <v>5</v>
      </c>
      <c r="Y12" s="92"/>
      <c r="Z12" s="103"/>
      <c r="AB12" s="84"/>
      <c r="AC12" s="417">
        <v>50</v>
      </c>
      <c r="AD12" s="529">
        <v>50</v>
      </c>
      <c r="AE12" s="104">
        <v>5</v>
      </c>
      <c r="AF12" s="92"/>
      <c r="AG12" s="103"/>
      <c r="AI12" s="517"/>
      <c r="AJ12" s="443">
        <v>75</v>
      </c>
      <c r="AK12" s="529">
        <v>75</v>
      </c>
      <c r="AL12" s="104">
        <v>5</v>
      </c>
      <c r="AM12" s="92"/>
      <c r="AN12" s="103"/>
      <c r="AP12" s="517"/>
      <c r="AQ12" s="443">
        <v>50</v>
      </c>
      <c r="AR12" s="529">
        <v>50</v>
      </c>
      <c r="AS12" s="104">
        <v>5</v>
      </c>
      <c r="AT12" s="92"/>
      <c r="AU12" s="103"/>
    </row>
    <row r="13" spans="1:47" x14ac:dyDescent="0.35">
      <c r="A13" s="446"/>
      <c r="B13" s="517"/>
      <c r="C13" s="560">
        <v>400</v>
      </c>
      <c r="D13" s="104">
        <v>4</v>
      </c>
      <c r="E13" s="91"/>
      <c r="F13" s="93"/>
      <c r="H13" s="84"/>
      <c r="I13" s="91"/>
      <c r="J13" s="91"/>
      <c r="K13" s="417">
        <v>400</v>
      </c>
      <c r="L13" s="412">
        <v>400</v>
      </c>
      <c r="M13" s="412">
        <v>400</v>
      </c>
      <c r="N13" s="412">
        <v>400</v>
      </c>
      <c r="O13" s="418">
        <v>40</v>
      </c>
      <c r="P13" s="104">
        <v>4</v>
      </c>
      <c r="Q13" s="218"/>
      <c r="R13" s="103"/>
      <c r="T13" s="517"/>
      <c r="U13" s="443">
        <v>70</v>
      </c>
      <c r="V13" s="412">
        <v>70</v>
      </c>
      <c r="W13" s="529">
        <v>70</v>
      </c>
      <c r="X13" s="104">
        <v>4</v>
      </c>
      <c r="Y13" s="92"/>
      <c r="Z13" s="103"/>
      <c r="AB13" s="84"/>
      <c r="AC13" s="417">
        <v>40</v>
      </c>
      <c r="AD13" s="529">
        <v>40</v>
      </c>
      <c r="AE13" s="104">
        <v>4</v>
      </c>
      <c r="AF13" s="92"/>
      <c r="AG13" s="103"/>
      <c r="AI13" s="517"/>
      <c r="AJ13" s="443">
        <v>70</v>
      </c>
      <c r="AK13" s="529">
        <v>70</v>
      </c>
      <c r="AL13" s="104">
        <v>4</v>
      </c>
      <c r="AM13" s="92"/>
      <c r="AN13" s="103"/>
      <c r="AP13" s="517"/>
      <c r="AQ13" s="443">
        <v>40</v>
      </c>
      <c r="AR13" s="529">
        <v>40</v>
      </c>
      <c r="AS13" s="104">
        <v>4</v>
      </c>
      <c r="AT13" s="92"/>
      <c r="AU13" s="103"/>
    </row>
    <row r="14" spans="1:47" x14ac:dyDescent="0.35">
      <c r="A14" s="446"/>
      <c r="B14" s="517"/>
      <c r="C14" s="560">
        <v>300</v>
      </c>
      <c r="D14" s="104">
        <v>3</v>
      </c>
      <c r="E14" s="91"/>
      <c r="F14" s="93"/>
      <c r="H14" s="84"/>
      <c r="I14" s="91"/>
      <c r="J14" s="91"/>
      <c r="K14" s="417">
        <v>300</v>
      </c>
      <c r="L14" s="412">
        <v>300</v>
      </c>
      <c r="M14" s="412">
        <v>300</v>
      </c>
      <c r="N14" s="412">
        <v>300</v>
      </c>
      <c r="O14" s="418">
        <v>30</v>
      </c>
      <c r="P14" s="104">
        <v>3</v>
      </c>
      <c r="Q14" s="218"/>
      <c r="R14" s="103"/>
      <c r="T14" s="517"/>
      <c r="U14" s="443">
        <v>65</v>
      </c>
      <c r="V14" s="412">
        <v>65</v>
      </c>
      <c r="W14" s="529">
        <v>65</v>
      </c>
      <c r="X14" s="104">
        <v>3</v>
      </c>
      <c r="Y14" s="92"/>
      <c r="Z14" s="103"/>
      <c r="AB14" s="84"/>
      <c r="AC14" s="417">
        <v>30</v>
      </c>
      <c r="AD14" s="529">
        <v>30</v>
      </c>
      <c r="AE14" s="104">
        <v>3</v>
      </c>
      <c r="AF14" s="92"/>
      <c r="AG14" s="103"/>
      <c r="AI14" s="517"/>
      <c r="AJ14" s="443">
        <v>65</v>
      </c>
      <c r="AK14" s="529">
        <v>65</v>
      </c>
      <c r="AL14" s="104">
        <v>3</v>
      </c>
      <c r="AM14" s="92"/>
      <c r="AN14" s="103"/>
      <c r="AP14" s="517"/>
      <c r="AQ14" s="443">
        <v>30</v>
      </c>
      <c r="AR14" s="529">
        <v>30</v>
      </c>
      <c r="AS14" s="104">
        <v>3</v>
      </c>
      <c r="AT14" s="92"/>
      <c r="AU14" s="103"/>
    </row>
    <row r="15" spans="1:47" x14ac:dyDescent="0.35">
      <c r="A15" s="446"/>
      <c r="B15" s="517"/>
      <c r="C15" s="560">
        <v>200</v>
      </c>
      <c r="D15" s="104">
        <v>2</v>
      </c>
      <c r="E15" s="91"/>
      <c r="F15" s="93"/>
      <c r="H15" s="84"/>
      <c r="I15" s="91"/>
      <c r="J15" s="91"/>
      <c r="K15" s="417">
        <v>200</v>
      </c>
      <c r="L15" s="412">
        <v>200</v>
      </c>
      <c r="M15" s="412">
        <v>200</v>
      </c>
      <c r="N15" s="412">
        <v>200</v>
      </c>
      <c r="O15" s="418">
        <v>20</v>
      </c>
      <c r="P15" s="104">
        <v>2</v>
      </c>
      <c r="Q15" s="218"/>
      <c r="R15" s="103"/>
      <c r="T15" s="517"/>
      <c r="U15" s="443">
        <v>60</v>
      </c>
      <c r="V15" s="412">
        <v>60</v>
      </c>
      <c r="W15" s="529">
        <v>60</v>
      </c>
      <c r="X15" s="104">
        <v>2</v>
      </c>
      <c r="Y15" s="92"/>
      <c r="Z15" s="103"/>
      <c r="AB15" s="84"/>
      <c r="AC15" s="417">
        <v>20</v>
      </c>
      <c r="AD15" s="529">
        <v>20</v>
      </c>
      <c r="AE15" s="104">
        <v>2</v>
      </c>
      <c r="AF15" s="92"/>
      <c r="AG15" s="103"/>
      <c r="AI15" s="517"/>
      <c r="AJ15" s="443">
        <v>60</v>
      </c>
      <c r="AK15" s="529">
        <v>60</v>
      </c>
      <c r="AL15" s="104">
        <v>2</v>
      </c>
      <c r="AM15" s="92"/>
      <c r="AN15" s="103"/>
      <c r="AP15" s="517"/>
      <c r="AQ15" s="443">
        <v>20</v>
      </c>
      <c r="AR15" s="529">
        <v>20</v>
      </c>
      <c r="AS15" s="104">
        <v>2</v>
      </c>
      <c r="AT15" s="92"/>
      <c r="AU15" s="103"/>
    </row>
    <row r="16" spans="1:47" x14ac:dyDescent="0.35">
      <c r="A16" s="446"/>
      <c r="B16" s="517"/>
      <c r="C16" s="560">
        <v>100</v>
      </c>
      <c r="D16" s="104">
        <v>1</v>
      </c>
      <c r="E16" s="91"/>
      <c r="F16" s="93"/>
      <c r="H16" s="84"/>
      <c r="I16" s="91"/>
      <c r="J16" s="91"/>
      <c r="K16" s="417">
        <v>100</v>
      </c>
      <c r="L16" s="412">
        <v>100</v>
      </c>
      <c r="M16" s="412">
        <v>100</v>
      </c>
      <c r="N16" s="412">
        <v>100</v>
      </c>
      <c r="O16" s="418">
        <v>10</v>
      </c>
      <c r="P16" s="104">
        <v>1</v>
      </c>
      <c r="Q16" s="218"/>
      <c r="R16" s="103"/>
      <c r="T16" s="517"/>
      <c r="U16" s="443">
        <v>55</v>
      </c>
      <c r="V16" s="412">
        <v>55</v>
      </c>
      <c r="W16" s="529">
        <v>55</v>
      </c>
      <c r="X16" s="104">
        <v>1</v>
      </c>
      <c r="Y16" s="92"/>
      <c r="Z16" s="103"/>
      <c r="AB16" s="84"/>
      <c r="AC16" s="417">
        <v>10</v>
      </c>
      <c r="AD16" s="529">
        <v>10</v>
      </c>
      <c r="AE16" s="104">
        <v>1</v>
      </c>
      <c r="AF16" s="92"/>
      <c r="AG16" s="103"/>
      <c r="AI16" s="517"/>
      <c r="AJ16" s="443">
        <v>55</v>
      </c>
      <c r="AK16" s="529">
        <v>55</v>
      </c>
      <c r="AL16" s="104">
        <v>1</v>
      </c>
      <c r="AM16" s="92"/>
      <c r="AN16" s="103"/>
      <c r="AP16" s="517"/>
      <c r="AQ16" s="443">
        <v>10</v>
      </c>
      <c r="AR16" s="529">
        <v>10</v>
      </c>
      <c r="AS16" s="104">
        <v>1</v>
      </c>
      <c r="AT16" s="92"/>
      <c r="AU16" s="103"/>
    </row>
    <row r="17" spans="1:62" ht="16" thickBot="1" x14ac:dyDescent="0.4">
      <c r="A17" s="446"/>
      <c r="B17" s="517"/>
      <c r="C17" s="561">
        <v>0</v>
      </c>
      <c r="D17" s="104">
        <v>0</v>
      </c>
      <c r="E17" s="91"/>
      <c r="F17" s="93"/>
      <c r="H17" s="84"/>
      <c r="I17" s="91"/>
      <c r="J17" s="91"/>
      <c r="K17" s="419">
        <v>0</v>
      </c>
      <c r="L17" s="413">
        <v>0</v>
      </c>
      <c r="M17" s="420">
        <v>0</v>
      </c>
      <c r="N17" s="413">
        <v>0</v>
      </c>
      <c r="O17" s="421">
        <v>0</v>
      </c>
      <c r="P17" s="104">
        <v>0</v>
      </c>
      <c r="Q17" s="218"/>
      <c r="R17" s="103"/>
      <c r="T17" s="517"/>
      <c r="U17" s="420">
        <v>50</v>
      </c>
      <c r="V17" s="413">
        <v>50</v>
      </c>
      <c r="W17" s="530">
        <v>50</v>
      </c>
      <c r="X17" s="104">
        <v>0</v>
      </c>
      <c r="Y17" s="92"/>
      <c r="Z17" s="103"/>
      <c r="AB17" s="84"/>
      <c r="AC17" s="419">
        <v>0</v>
      </c>
      <c r="AD17" s="530">
        <v>0</v>
      </c>
      <c r="AE17" s="104">
        <v>0</v>
      </c>
      <c r="AF17" s="92"/>
      <c r="AG17" s="103"/>
      <c r="AI17" s="517"/>
      <c r="AJ17" s="420">
        <v>50</v>
      </c>
      <c r="AK17" s="530">
        <v>50</v>
      </c>
      <c r="AL17" s="104">
        <v>0</v>
      </c>
      <c r="AM17" s="92"/>
      <c r="AN17" s="103"/>
      <c r="AP17" s="517"/>
      <c r="AQ17" s="420">
        <v>0</v>
      </c>
      <c r="AR17" s="530">
        <v>0</v>
      </c>
      <c r="AS17" s="104">
        <v>0</v>
      </c>
      <c r="AT17" s="92"/>
      <c r="AU17" s="103"/>
    </row>
    <row r="18" spans="1:62" ht="16" thickBot="1" x14ac:dyDescent="0.4">
      <c r="A18" s="446"/>
      <c r="B18" s="91"/>
      <c r="C18" s="219"/>
      <c r="D18" s="92"/>
      <c r="E18" s="91"/>
      <c r="F18" s="93"/>
      <c r="H18" s="84"/>
      <c r="I18" s="91"/>
      <c r="J18" s="91"/>
      <c r="K18" s="219"/>
      <c r="L18" s="219"/>
      <c r="M18" s="219"/>
      <c r="N18" s="219"/>
      <c r="O18" s="219"/>
      <c r="P18" s="92"/>
      <c r="Q18" s="218"/>
      <c r="R18" s="103"/>
      <c r="T18" s="84"/>
      <c r="U18" s="219"/>
      <c r="V18" s="219"/>
      <c r="W18" s="219"/>
      <c r="X18" s="92"/>
      <c r="Y18" s="92"/>
      <c r="Z18" s="103"/>
      <c r="AB18" s="84"/>
      <c r="AC18" s="219"/>
      <c r="AD18" s="219"/>
      <c r="AE18" s="92"/>
      <c r="AF18" s="92"/>
      <c r="AG18" s="103"/>
      <c r="AI18" s="84"/>
      <c r="AJ18" s="219"/>
      <c r="AK18" s="219"/>
      <c r="AL18" s="92"/>
      <c r="AM18" s="92"/>
      <c r="AN18" s="103"/>
      <c r="AP18" s="84"/>
      <c r="AQ18" s="557"/>
      <c r="AR18" s="219"/>
      <c r="AS18" s="92"/>
      <c r="AT18" s="92">
        <f>SUM(AQ20:AR20)</f>
        <v>100</v>
      </c>
      <c r="AU18" s="103"/>
    </row>
    <row r="19" spans="1:62" ht="16" thickBot="1" x14ac:dyDescent="0.4">
      <c r="A19" s="446"/>
      <c r="B19" s="517"/>
      <c r="C19" s="518">
        <f>C5</f>
        <v>0</v>
      </c>
      <c r="D19" s="92" t="s">
        <v>20</v>
      </c>
      <c r="E19" s="105"/>
      <c r="F19" s="106"/>
      <c r="G19" s="107"/>
      <c r="H19" s="108"/>
      <c r="I19" s="105"/>
      <c r="J19" s="105"/>
      <c r="K19" s="521">
        <f>K5/100</f>
        <v>0</v>
      </c>
      <c r="L19" s="523">
        <f>L5/100</f>
        <v>0</v>
      </c>
      <c r="M19" s="523">
        <f>M5/100</f>
        <v>0</v>
      </c>
      <c r="N19" s="523">
        <f>N5/100</f>
        <v>0</v>
      </c>
      <c r="O19" s="524">
        <f>O5*10</f>
        <v>0</v>
      </c>
      <c r="P19" s="92" t="s">
        <v>20</v>
      </c>
      <c r="Q19" s="219"/>
      <c r="R19" s="106"/>
      <c r="S19" s="107"/>
      <c r="T19" s="108"/>
      <c r="U19" s="437">
        <f>Y71</f>
        <v>0</v>
      </c>
      <c r="V19" s="437">
        <f t="shared" ref="V19:W19" si="0">Z71</f>
        <v>0</v>
      </c>
      <c r="W19" s="438">
        <f t="shared" si="0"/>
        <v>0</v>
      </c>
      <c r="X19" s="92" t="s">
        <v>20</v>
      </c>
      <c r="Y19" s="105"/>
      <c r="Z19" s="106"/>
      <c r="AB19" s="108"/>
      <c r="AC19" s="441">
        <f>AF71</f>
        <v>0</v>
      </c>
      <c r="AD19" s="542">
        <f>AG71</f>
        <v>0</v>
      </c>
      <c r="AE19" s="92" t="s">
        <v>20</v>
      </c>
      <c r="AF19" s="105"/>
      <c r="AG19" s="106"/>
      <c r="AI19" s="108"/>
      <c r="AJ19" s="422">
        <f>AL71</f>
        <v>0</v>
      </c>
      <c r="AK19" s="555">
        <f>AM71</f>
        <v>0</v>
      </c>
      <c r="AL19" s="92"/>
      <c r="AM19" s="105"/>
      <c r="AN19" s="106"/>
      <c r="AP19" s="547"/>
      <c r="AQ19" s="544">
        <f>AS71</f>
        <v>0</v>
      </c>
      <c r="AR19" s="548">
        <f>AT71</f>
        <v>0</v>
      </c>
      <c r="AS19" s="92" t="s">
        <v>20</v>
      </c>
      <c r="AT19" s="105"/>
      <c r="AU19" s="106"/>
    </row>
    <row r="20" spans="1:62" x14ac:dyDescent="0.35">
      <c r="A20" s="446"/>
      <c r="B20" s="517"/>
      <c r="C20" s="520">
        <v>100</v>
      </c>
      <c r="D20" s="92" t="s">
        <v>17</v>
      </c>
      <c r="E20" s="220" t="s">
        <v>70</v>
      </c>
      <c r="F20" s="103"/>
      <c r="G20" s="92"/>
      <c r="H20" s="84"/>
      <c r="I20" s="91"/>
      <c r="J20" s="91"/>
      <c r="K20" s="522">
        <v>25</v>
      </c>
      <c r="L20" s="522">
        <v>15</v>
      </c>
      <c r="M20" s="522">
        <v>30</v>
      </c>
      <c r="N20" s="522">
        <v>25</v>
      </c>
      <c r="O20" s="424">
        <v>5</v>
      </c>
      <c r="P20" s="92" t="s">
        <v>17</v>
      </c>
      <c r="Q20" s="220" t="s">
        <v>18</v>
      </c>
      <c r="R20" s="109"/>
      <c r="S20" s="110"/>
      <c r="T20" s="84"/>
      <c r="U20" s="527">
        <v>40</v>
      </c>
      <c r="V20" s="439">
        <v>20</v>
      </c>
      <c r="W20" s="553">
        <v>40</v>
      </c>
      <c r="X20" s="92" t="s">
        <v>17</v>
      </c>
      <c r="Y20" s="442" t="s">
        <v>18</v>
      </c>
      <c r="Z20" s="109"/>
      <c r="AB20" s="84"/>
      <c r="AC20" s="423">
        <v>60</v>
      </c>
      <c r="AD20" s="543">
        <v>40</v>
      </c>
      <c r="AE20" s="92" t="s">
        <v>17</v>
      </c>
      <c r="AF20" s="442" t="s">
        <v>18</v>
      </c>
      <c r="AG20" s="109"/>
      <c r="AI20" s="84"/>
      <c r="AJ20" s="423">
        <v>50</v>
      </c>
      <c r="AK20" s="424">
        <v>50</v>
      </c>
      <c r="AL20" s="92" t="s">
        <v>17</v>
      </c>
      <c r="AM20" s="442" t="s">
        <v>18</v>
      </c>
      <c r="AN20" s="109"/>
      <c r="AP20" s="517"/>
      <c r="AQ20" s="545">
        <v>50</v>
      </c>
      <c r="AR20" s="543">
        <v>50</v>
      </c>
      <c r="AS20" s="92" t="s">
        <v>17</v>
      </c>
      <c r="AT20" s="220" t="s">
        <v>18</v>
      </c>
      <c r="AU20" s="109"/>
    </row>
    <row r="21" spans="1:62" ht="16" thickBot="1" x14ac:dyDescent="0.4">
      <c r="A21" s="446"/>
      <c r="B21" s="517"/>
      <c r="C21" s="519">
        <f>C19/C20</f>
        <v>0</v>
      </c>
      <c r="D21" s="92" t="s">
        <v>19</v>
      </c>
      <c r="E21" s="444">
        <f>SUM(C21:C21)</f>
        <v>0</v>
      </c>
      <c r="F21" s="112"/>
      <c r="G21" s="113"/>
      <c r="H21" s="84"/>
      <c r="I21" s="91"/>
      <c r="J21" s="91"/>
      <c r="K21" s="425">
        <f>K19*K20</f>
        <v>0</v>
      </c>
      <c r="L21" s="425">
        <f>L19*L20</f>
        <v>0</v>
      </c>
      <c r="M21" s="425">
        <f>M19*M20</f>
        <v>0</v>
      </c>
      <c r="N21" s="526">
        <f>N19*N20</f>
        <v>0</v>
      </c>
      <c r="O21" s="525">
        <f>O19*O20</f>
        <v>0</v>
      </c>
      <c r="P21" s="92" t="s">
        <v>19</v>
      </c>
      <c r="Q21" s="221">
        <f>SUM(K21:O21)</f>
        <v>0</v>
      </c>
      <c r="R21" s="109"/>
      <c r="S21" s="110"/>
      <c r="T21" s="84"/>
      <c r="U21" s="528">
        <f>U19*U20</f>
        <v>0</v>
      </c>
      <c r="V21" s="440">
        <f>V19*V20</f>
        <v>0</v>
      </c>
      <c r="W21" s="554">
        <f>W19*W20</f>
        <v>0</v>
      </c>
      <c r="X21" s="92" t="s">
        <v>19</v>
      </c>
      <c r="Y21" s="111">
        <f>SUM(U21:W21)</f>
        <v>0</v>
      </c>
      <c r="Z21" s="109"/>
      <c r="AB21" s="84"/>
      <c r="AC21" s="425">
        <f>AC19*AC20</f>
        <v>0</v>
      </c>
      <c r="AD21" s="414">
        <f>AD19*AD20</f>
        <v>0</v>
      </c>
      <c r="AE21" s="92" t="s">
        <v>19</v>
      </c>
      <c r="AF21" s="111">
        <f>SUM(AC21:AD21)</f>
        <v>0</v>
      </c>
      <c r="AG21" s="109"/>
      <c r="AI21" s="84"/>
      <c r="AJ21" s="556">
        <f>AJ19*AJ20</f>
        <v>0</v>
      </c>
      <c r="AK21" s="414">
        <f>AK19*AK20</f>
        <v>0</v>
      </c>
      <c r="AL21" s="92" t="s">
        <v>19</v>
      </c>
      <c r="AM21" s="111">
        <f>SUM(AJ21:AK21)</f>
        <v>0</v>
      </c>
      <c r="AN21" s="109"/>
      <c r="AP21" s="517"/>
      <c r="AQ21" s="546">
        <f>AQ19*AQ20</f>
        <v>0</v>
      </c>
      <c r="AR21" s="414">
        <f>AR19*AR20</f>
        <v>0</v>
      </c>
      <c r="AS21" s="92" t="s">
        <v>19</v>
      </c>
      <c r="AT21" s="221">
        <f>SUM(AQ21:AR21)</f>
        <v>0</v>
      </c>
      <c r="AU21" s="109"/>
    </row>
    <row r="22" spans="1:62" ht="16" thickBot="1" x14ac:dyDescent="0.4">
      <c r="A22" s="446"/>
      <c r="B22" s="117"/>
      <c r="C22" s="114"/>
      <c r="D22" s="115"/>
      <c r="E22" s="114"/>
      <c r="F22" s="116"/>
      <c r="H22" s="117"/>
      <c r="I22" s="114"/>
      <c r="J22" s="114"/>
      <c r="K22" s="114"/>
      <c r="L22" s="114"/>
      <c r="M22" s="114"/>
      <c r="N22" s="114"/>
      <c r="O22" s="114"/>
      <c r="P22" s="115"/>
      <c r="Q22" s="222"/>
      <c r="R22" s="118"/>
      <c r="T22" s="117"/>
      <c r="U22" s="114"/>
      <c r="V22" s="114"/>
      <c r="W22" s="114"/>
      <c r="X22" s="115"/>
      <c r="Y22" s="115"/>
      <c r="Z22" s="118"/>
      <c r="AB22" s="117"/>
      <c r="AC22" s="114"/>
      <c r="AD22" s="114"/>
      <c r="AE22" s="115"/>
      <c r="AF22" s="115"/>
      <c r="AG22" s="118"/>
      <c r="AI22" s="117"/>
      <c r="AJ22" s="114"/>
      <c r="AK22" s="114"/>
      <c r="AL22" s="115"/>
      <c r="AM22" s="115"/>
      <c r="AN22" s="118"/>
      <c r="AP22" s="117"/>
      <c r="AQ22" s="114"/>
      <c r="AR22" s="114"/>
      <c r="AS22" s="115"/>
      <c r="AT22" s="115"/>
      <c r="AU22" s="118"/>
    </row>
    <row r="23" spans="1:62" s="427" customFormat="1" ht="16" thickBot="1" x14ac:dyDescent="0.4">
      <c r="A23" s="640" t="s">
        <v>441</v>
      </c>
      <c r="B23" s="640"/>
      <c r="C23" s="640"/>
      <c r="D23" s="640"/>
      <c r="E23" s="445">
        <f>E21</f>
        <v>0</v>
      </c>
      <c r="F23" s="426"/>
      <c r="H23" s="426"/>
      <c r="I23" s="426"/>
      <c r="J23" s="426"/>
      <c r="K23" s="426"/>
      <c r="L23" s="426"/>
      <c r="M23" s="426"/>
      <c r="N23" s="426"/>
      <c r="O23" s="426"/>
      <c r="P23" s="428"/>
      <c r="Q23" s="428"/>
      <c r="R23" s="428"/>
      <c r="S23" s="428"/>
      <c r="T23" s="429"/>
      <c r="U23" s="426"/>
      <c r="V23" s="426"/>
      <c r="W23" s="426"/>
      <c r="X23" s="426"/>
      <c r="Y23" s="428"/>
      <c r="Z23" s="428"/>
      <c r="AA23" s="428"/>
      <c r="AC23" s="426"/>
      <c r="AD23" s="426"/>
      <c r="AE23" s="426"/>
      <c r="AF23" s="428"/>
      <c r="AG23" s="428"/>
      <c r="AH23" s="428"/>
      <c r="AJ23" s="426"/>
      <c r="AK23" s="426"/>
      <c r="AL23" s="426"/>
      <c r="AM23" s="426"/>
      <c r="AN23" s="426"/>
      <c r="AO23" s="426"/>
      <c r="AP23" s="426"/>
      <c r="AQ23" s="426"/>
      <c r="AR23" s="426"/>
      <c r="AS23" s="426"/>
      <c r="AT23" s="426"/>
      <c r="AU23" s="426"/>
      <c r="AV23" s="428"/>
      <c r="AW23" s="428"/>
      <c r="AX23" s="428"/>
      <c r="AZ23" s="426"/>
      <c r="BA23" s="426"/>
      <c r="BB23" s="426"/>
      <c r="BC23" s="426"/>
      <c r="BD23" s="426"/>
      <c r="BE23" s="426"/>
      <c r="BF23" s="426"/>
      <c r="BG23" s="426"/>
      <c r="BH23" s="428"/>
      <c r="BI23" s="428"/>
      <c r="BJ23" s="428"/>
    </row>
    <row r="24" spans="1:62" s="427" customFormat="1" ht="16" thickBot="1" x14ac:dyDescent="0.4">
      <c r="A24" s="640" t="s">
        <v>442</v>
      </c>
      <c r="B24" s="640"/>
      <c r="C24" s="640"/>
      <c r="D24" s="640"/>
      <c r="E24" s="448" t="str">
        <f>IF(C51=4,"Poor",IF(C51=3,"Good",IF(C51=2,"Better","Best")))</f>
        <v>Poor</v>
      </c>
      <c r="F24" s="426"/>
      <c r="H24" s="426"/>
      <c r="I24" s="426"/>
      <c r="J24" s="426"/>
      <c r="K24" s="426"/>
      <c r="L24" s="426"/>
      <c r="M24" s="426"/>
      <c r="N24" s="426"/>
      <c r="O24" s="426"/>
      <c r="P24" s="428"/>
      <c r="Q24" s="428"/>
      <c r="R24" s="428"/>
      <c r="S24" s="428"/>
      <c r="T24" s="429"/>
      <c r="U24" s="426"/>
      <c r="V24" s="430"/>
      <c r="W24" s="426"/>
      <c r="X24" s="426"/>
      <c r="Y24" s="428"/>
      <c r="Z24" s="428"/>
      <c r="AA24" s="428"/>
      <c r="AC24" s="426"/>
      <c r="AD24" s="426"/>
      <c r="AE24" s="426"/>
      <c r="AF24" s="428"/>
      <c r="AG24" s="428"/>
      <c r="AH24" s="428"/>
      <c r="AJ24" s="426"/>
      <c r="AK24" s="426"/>
      <c r="AL24" s="426"/>
      <c r="AM24" s="426"/>
      <c r="AN24" s="426"/>
      <c r="AO24" s="426"/>
      <c r="AP24" s="426"/>
      <c r="AQ24" s="426"/>
      <c r="AR24" s="426"/>
      <c r="AS24" s="426"/>
      <c r="AT24" s="426"/>
      <c r="AU24" s="430"/>
      <c r="AV24" s="428"/>
      <c r="AW24" s="428"/>
      <c r="AX24" s="428"/>
      <c r="AZ24" s="426"/>
      <c r="BA24" s="426"/>
      <c r="BB24" s="426"/>
      <c r="BC24" s="426"/>
      <c r="BD24" s="426"/>
      <c r="BE24" s="426"/>
      <c r="BF24" s="426"/>
      <c r="BG24" s="426"/>
      <c r="BH24" s="428"/>
      <c r="BI24" s="428"/>
      <c r="BJ24" s="428"/>
    </row>
    <row r="25" spans="1:62" s="427" customFormat="1" x14ac:dyDescent="0.35">
      <c r="B25" s="426"/>
      <c r="C25" s="426"/>
      <c r="D25" s="428"/>
      <c r="E25" s="426"/>
      <c r="F25" s="426"/>
      <c r="H25" s="426"/>
      <c r="I25" s="426"/>
      <c r="J25" s="426"/>
      <c r="K25" s="426"/>
      <c r="L25" s="426"/>
      <c r="M25" s="426"/>
      <c r="N25" s="426"/>
      <c r="O25" s="426"/>
      <c r="P25" s="428"/>
      <c r="Q25" s="428"/>
      <c r="R25" s="428"/>
      <c r="S25" s="428"/>
      <c r="T25" s="429"/>
      <c r="U25" s="426"/>
      <c r="V25" s="426"/>
      <c r="W25" s="426"/>
      <c r="X25" s="426"/>
      <c r="Y25" s="428"/>
      <c r="Z25" s="428"/>
      <c r="AA25" s="428"/>
      <c r="AC25" s="426"/>
      <c r="AD25" s="426"/>
      <c r="AE25" s="426"/>
      <c r="AF25" s="428"/>
      <c r="AG25" s="428"/>
      <c r="AH25" s="428"/>
      <c r="AJ25" s="426"/>
      <c r="AK25" s="431"/>
      <c r="AL25" s="431"/>
      <c r="AM25" s="431"/>
      <c r="AN25" s="431"/>
      <c r="AO25" s="431"/>
      <c r="AP25" s="431"/>
      <c r="AQ25" s="431"/>
      <c r="AR25" s="431"/>
      <c r="AS25" s="431"/>
      <c r="AT25" s="431"/>
      <c r="AU25" s="426"/>
      <c r="AV25" s="428"/>
      <c r="AW25" s="428"/>
      <c r="AX25" s="428"/>
      <c r="AZ25" s="426"/>
      <c r="BA25" s="426"/>
      <c r="BB25" s="426"/>
      <c r="BC25" s="426"/>
      <c r="BD25" s="426"/>
      <c r="BE25" s="426"/>
      <c r="BF25" s="426"/>
      <c r="BG25" s="426"/>
      <c r="BH25" s="428"/>
      <c r="BI25" s="428"/>
      <c r="BJ25" s="428"/>
    </row>
    <row r="26" spans="1:62" s="427" customFormat="1" x14ac:dyDescent="0.35">
      <c r="B26" s="426"/>
      <c r="C26" s="426"/>
      <c r="D26" s="428"/>
      <c r="E26" s="426"/>
      <c r="F26" s="426"/>
      <c r="H26" s="426"/>
      <c r="I26" s="426"/>
      <c r="J26" s="426"/>
      <c r="K26" s="426"/>
      <c r="L26" s="426"/>
      <c r="M26" s="426"/>
      <c r="N26" s="426"/>
      <c r="O26" s="426"/>
      <c r="P26" s="428"/>
      <c r="Q26" s="428"/>
      <c r="R26" s="428"/>
      <c r="S26" s="428"/>
      <c r="T26" s="429"/>
      <c r="U26" s="426"/>
      <c r="V26" s="426"/>
      <c r="W26" s="426"/>
      <c r="X26" s="426"/>
      <c r="Y26" s="428"/>
      <c r="Z26" s="428"/>
      <c r="AA26" s="428"/>
      <c r="AC26" s="426"/>
      <c r="AD26" s="426"/>
      <c r="AE26" s="426"/>
      <c r="AF26" s="428"/>
      <c r="AG26" s="428"/>
      <c r="AH26" s="428"/>
      <c r="AJ26" s="426"/>
      <c r="AK26" s="426"/>
      <c r="AL26" s="426"/>
      <c r="AM26" s="426"/>
      <c r="AN26" s="426"/>
      <c r="AO26" s="426"/>
      <c r="AP26" s="426"/>
      <c r="AQ26" s="426"/>
      <c r="AR26" s="426"/>
      <c r="AS26" s="426"/>
      <c r="AT26" s="426"/>
      <c r="AU26" s="426"/>
      <c r="AV26" s="428"/>
      <c r="AW26" s="428"/>
      <c r="AX26" s="428"/>
      <c r="AZ26" s="426"/>
      <c r="BA26" s="426"/>
      <c r="BB26" s="426"/>
      <c r="BC26" s="426"/>
      <c r="BD26" s="426"/>
      <c r="BE26" s="426"/>
      <c r="BF26" s="426"/>
      <c r="BG26" s="426"/>
      <c r="BH26" s="428"/>
      <c r="BI26" s="428"/>
      <c r="BJ26" s="428"/>
    </row>
    <row r="27" spans="1:62" s="427" customFormat="1" x14ac:dyDescent="0.35">
      <c r="B27" s="432"/>
      <c r="C27" s="426"/>
      <c r="D27" s="428"/>
      <c r="E27" s="426"/>
      <c r="F27" s="426"/>
      <c r="H27" s="426"/>
      <c r="I27" s="426"/>
      <c r="J27" s="426"/>
      <c r="K27" s="426"/>
      <c r="L27" s="426"/>
      <c r="M27" s="426"/>
      <c r="N27" s="426"/>
      <c r="O27" s="426"/>
      <c r="P27" s="428"/>
      <c r="Q27" s="428"/>
      <c r="R27" s="428"/>
      <c r="S27" s="428"/>
      <c r="T27" s="429"/>
      <c r="U27" s="426"/>
      <c r="V27" s="433"/>
      <c r="W27" s="426"/>
      <c r="X27" s="426"/>
      <c r="Y27" s="428"/>
      <c r="Z27" s="428"/>
      <c r="AA27" s="428"/>
      <c r="AC27" s="426"/>
      <c r="AD27" s="426"/>
      <c r="AE27" s="426"/>
      <c r="AF27" s="428"/>
      <c r="AG27" s="428"/>
      <c r="AH27" s="428"/>
      <c r="AJ27" s="426"/>
      <c r="AK27" s="426"/>
      <c r="AL27" s="426"/>
      <c r="AM27" s="426"/>
      <c r="AN27" s="426"/>
      <c r="AO27" s="426"/>
      <c r="AP27" s="426"/>
      <c r="AQ27" s="426"/>
      <c r="AR27" s="426"/>
      <c r="AS27" s="426"/>
      <c r="AT27" s="426"/>
      <c r="AU27" s="426"/>
      <c r="AV27" s="428"/>
      <c r="AW27" s="428"/>
      <c r="AX27" s="428"/>
      <c r="AZ27" s="426"/>
      <c r="BA27" s="426"/>
      <c r="BB27" s="426"/>
      <c r="BC27" s="426"/>
      <c r="BD27" s="426"/>
      <c r="BE27" s="426"/>
      <c r="BF27" s="426"/>
      <c r="BG27" s="426"/>
      <c r="BH27" s="428"/>
      <c r="BI27" s="428"/>
      <c r="BJ27" s="428"/>
    </row>
    <row r="28" spans="1:62" s="427" customFormat="1" hidden="1" x14ac:dyDescent="0.35">
      <c r="B28" s="432"/>
      <c r="C28" s="426"/>
      <c r="D28" s="428"/>
      <c r="E28" s="426"/>
      <c r="F28" s="426"/>
      <c r="H28" s="426"/>
      <c r="I28" s="426"/>
      <c r="J28" s="426"/>
      <c r="K28" s="426"/>
      <c r="L28" s="426"/>
      <c r="M28" s="426"/>
      <c r="N28" s="426"/>
      <c r="O28" s="426"/>
      <c r="P28" s="428"/>
      <c r="Q28" s="428"/>
      <c r="R28" s="428"/>
      <c r="S28" s="428"/>
      <c r="T28" s="429"/>
      <c r="U28" s="426"/>
      <c r="V28" s="426"/>
      <c r="W28" s="426"/>
      <c r="X28" s="426"/>
      <c r="Y28" s="428"/>
      <c r="Z28" s="428"/>
      <c r="AA28" s="428"/>
      <c r="AC28" s="426"/>
      <c r="AD28" s="426"/>
      <c r="AE28" s="426"/>
      <c r="AF28" s="428"/>
      <c r="AG28" s="428"/>
      <c r="AH28" s="428"/>
      <c r="AJ28" s="426"/>
      <c r="AK28" s="426"/>
      <c r="AL28" s="426"/>
      <c r="AM28" s="426"/>
      <c r="AN28" s="426"/>
      <c r="AO28" s="426"/>
      <c r="AP28" s="426"/>
      <c r="AQ28" s="426"/>
      <c r="AR28" s="426"/>
      <c r="AS28" s="426"/>
      <c r="AT28" s="426"/>
      <c r="AU28" s="426"/>
      <c r="AV28" s="428"/>
      <c r="AW28" s="428"/>
      <c r="AX28" s="428"/>
      <c r="AZ28" s="426"/>
      <c r="BA28" s="426"/>
      <c r="BB28" s="426"/>
      <c r="BC28" s="426"/>
      <c r="BD28" s="426"/>
      <c r="BE28" s="426"/>
      <c r="BF28" s="426"/>
      <c r="BG28" s="426"/>
      <c r="BH28" s="428"/>
      <c r="BI28" s="428"/>
      <c r="BJ28" s="428"/>
    </row>
    <row r="29" spans="1:62" s="427" customFormat="1" hidden="1" x14ac:dyDescent="0.35">
      <c r="B29" s="432"/>
      <c r="C29" s="426"/>
      <c r="D29" s="428"/>
      <c r="E29" s="426"/>
      <c r="F29" s="426"/>
      <c r="H29" s="426"/>
      <c r="I29" s="426"/>
      <c r="J29" s="426"/>
      <c r="K29" s="426"/>
      <c r="L29" s="426"/>
      <c r="M29" s="426"/>
      <c r="N29" s="426"/>
      <c r="O29" s="426"/>
      <c r="P29" s="428"/>
      <c r="Q29" s="428"/>
      <c r="R29" s="428"/>
      <c r="S29" s="428"/>
      <c r="T29" s="429"/>
      <c r="U29" s="426"/>
      <c r="V29" s="426"/>
      <c r="W29" s="426"/>
      <c r="X29" s="426"/>
      <c r="Y29" s="428"/>
      <c r="Z29" s="428"/>
      <c r="AA29" s="428"/>
      <c r="AC29" s="426"/>
      <c r="AD29" s="426"/>
      <c r="AE29" s="426"/>
      <c r="AF29" s="428"/>
      <c r="AG29" s="428"/>
      <c r="AH29" s="428"/>
      <c r="AJ29" s="426"/>
      <c r="AK29" s="426"/>
      <c r="AL29" s="426"/>
      <c r="AM29" s="426"/>
      <c r="AN29" s="426"/>
      <c r="AO29" s="426"/>
      <c r="AP29" s="426"/>
      <c r="AQ29" s="426"/>
      <c r="AR29" s="426"/>
      <c r="AS29" s="426"/>
      <c r="AT29" s="426"/>
      <c r="AU29" s="426"/>
      <c r="AV29" s="428"/>
      <c r="AW29" s="428"/>
      <c r="AX29" s="428"/>
      <c r="AZ29" s="426"/>
      <c r="BA29" s="426"/>
      <c r="BB29" s="426"/>
      <c r="BC29" s="426"/>
      <c r="BD29" s="426"/>
      <c r="BE29" s="426"/>
      <c r="BF29" s="426"/>
      <c r="BG29" s="426"/>
      <c r="BH29" s="428"/>
      <c r="BI29" s="428"/>
      <c r="BJ29" s="428"/>
    </row>
    <row r="30" spans="1:62" s="427" customFormat="1" hidden="1" x14ac:dyDescent="0.35">
      <c r="B30" s="432"/>
      <c r="C30" s="426"/>
      <c r="D30" s="428"/>
      <c r="O30" s="426"/>
      <c r="P30" s="428"/>
      <c r="Q30" s="428"/>
      <c r="R30" s="428"/>
      <c r="S30" s="428"/>
      <c r="T30" s="429"/>
      <c r="U30" s="426"/>
      <c r="V30" s="426"/>
      <c r="W30" s="426"/>
      <c r="X30" s="426"/>
      <c r="Y30" s="428"/>
      <c r="Z30" s="428"/>
      <c r="AA30" s="428"/>
      <c r="AC30" s="426"/>
      <c r="AD30" s="426"/>
      <c r="AE30" s="426"/>
      <c r="AF30" s="428"/>
      <c r="AG30" s="428"/>
      <c r="AH30" s="428"/>
      <c r="AJ30" s="426"/>
      <c r="AK30" s="426"/>
      <c r="AL30" s="426"/>
      <c r="AM30" s="426"/>
      <c r="AN30" s="426"/>
      <c r="AO30" s="426"/>
      <c r="AP30" s="426"/>
      <c r="AQ30" s="426"/>
      <c r="AR30" s="426"/>
      <c r="AS30" s="426"/>
      <c r="AT30" s="426"/>
      <c r="AU30" s="426"/>
      <c r="AV30" s="428"/>
      <c r="AW30" s="428"/>
      <c r="AX30" s="428"/>
      <c r="AZ30" s="426"/>
      <c r="BA30" s="426"/>
      <c r="BB30" s="426"/>
      <c r="BC30" s="426"/>
      <c r="BD30" s="426"/>
      <c r="BE30" s="426"/>
      <c r="BF30" s="426"/>
      <c r="BG30" s="426"/>
      <c r="BH30" s="428"/>
      <c r="BI30" s="428"/>
      <c r="BJ30" s="428"/>
    </row>
    <row r="31" spans="1:62" s="427" customFormat="1" hidden="1" x14ac:dyDescent="0.35">
      <c r="B31" s="432"/>
      <c r="C31" s="426"/>
      <c r="E31" s="426"/>
      <c r="F31" s="426"/>
      <c r="G31" s="428"/>
      <c r="H31" s="426"/>
      <c r="I31" s="426"/>
      <c r="K31" s="426"/>
      <c r="L31" s="426"/>
      <c r="M31" s="432"/>
      <c r="N31" s="426"/>
      <c r="O31" s="426"/>
      <c r="P31" s="428"/>
      <c r="Q31" s="428"/>
      <c r="R31" s="428"/>
      <c r="S31" s="428"/>
      <c r="T31" s="429"/>
      <c r="U31" s="426"/>
      <c r="V31" s="426"/>
      <c r="W31" s="426"/>
      <c r="X31" s="426"/>
      <c r="Y31" s="428"/>
      <c r="Z31" s="428"/>
      <c r="AA31" s="428"/>
      <c r="AC31" s="426"/>
      <c r="AD31" s="426"/>
      <c r="AE31" s="426"/>
      <c r="AF31" s="428"/>
      <c r="AG31" s="428"/>
      <c r="AH31" s="428"/>
      <c r="AJ31" s="426"/>
      <c r="AK31" s="426"/>
      <c r="AL31" s="426"/>
      <c r="AM31" s="426"/>
      <c r="AN31" s="426"/>
      <c r="AO31" s="426"/>
      <c r="AP31" s="426"/>
      <c r="AQ31" s="426"/>
      <c r="AR31" s="426"/>
      <c r="AS31" s="426"/>
      <c r="AT31" s="426"/>
      <c r="AU31" s="426"/>
      <c r="AV31" s="428"/>
      <c r="AW31" s="428"/>
      <c r="AX31" s="428"/>
      <c r="AZ31" s="426"/>
      <c r="BA31" s="426"/>
      <c r="BB31" s="426"/>
      <c r="BC31" s="426"/>
      <c r="BD31" s="426"/>
      <c r="BE31" s="426"/>
      <c r="BF31" s="426"/>
      <c r="BG31" s="426"/>
      <c r="BH31" s="428"/>
      <c r="BI31" s="428"/>
      <c r="BJ31" s="428"/>
    </row>
    <row r="32" spans="1:62" s="427" customFormat="1" hidden="1" x14ac:dyDescent="0.35">
      <c r="B32" s="432"/>
      <c r="C32" s="426"/>
      <c r="D32" s="428"/>
      <c r="E32" s="426"/>
      <c r="F32" s="426"/>
      <c r="H32" s="426"/>
      <c r="I32" s="426"/>
      <c r="J32" s="426"/>
      <c r="K32" s="426"/>
      <c r="L32" s="426"/>
      <c r="M32" s="426"/>
      <c r="N32" s="426"/>
      <c r="O32" s="426"/>
      <c r="P32" s="428"/>
      <c r="Q32" s="428"/>
      <c r="R32" s="428"/>
      <c r="S32" s="428"/>
      <c r="T32" s="429"/>
      <c r="U32" s="426"/>
      <c r="V32" s="426"/>
      <c r="W32" s="426"/>
      <c r="X32" s="426"/>
      <c r="Y32" s="428"/>
      <c r="Z32" s="428"/>
      <c r="AA32" s="428"/>
      <c r="AC32" s="426"/>
      <c r="AD32" s="426"/>
      <c r="AE32" s="426"/>
      <c r="AF32" s="428"/>
      <c r="AG32" s="428"/>
      <c r="AH32" s="428"/>
      <c r="AJ32" s="426"/>
      <c r="AK32" s="426"/>
      <c r="AL32" s="426"/>
      <c r="AM32" s="426"/>
      <c r="AN32" s="426"/>
      <c r="AO32" s="426"/>
      <c r="AP32" s="426"/>
      <c r="AQ32" s="426"/>
      <c r="AR32" s="426"/>
      <c r="AS32" s="426"/>
      <c r="AT32" s="426"/>
      <c r="AU32" s="426"/>
      <c r="AV32" s="428"/>
      <c r="AW32" s="428"/>
      <c r="AX32" s="428"/>
      <c r="AZ32" s="426"/>
      <c r="BA32" s="426"/>
      <c r="BB32" s="426"/>
      <c r="BC32" s="426"/>
      <c r="BD32" s="426"/>
      <c r="BE32" s="426"/>
      <c r="BF32" s="426"/>
      <c r="BG32" s="426"/>
      <c r="BH32" s="428"/>
      <c r="BI32" s="428"/>
      <c r="BJ32" s="428"/>
    </row>
    <row r="33" spans="1:62" s="427" customFormat="1" hidden="1" x14ac:dyDescent="0.35">
      <c r="B33" s="432"/>
      <c r="C33" s="426"/>
      <c r="D33" s="428"/>
      <c r="E33" s="426"/>
      <c r="F33" s="426"/>
      <c r="H33" s="426"/>
      <c r="I33" s="426"/>
      <c r="J33" s="426"/>
      <c r="K33" s="426"/>
      <c r="L33" s="426"/>
      <c r="M33" s="432"/>
      <c r="N33" s="426"/>
      <c r="O33" s="426"/>
      <c r="P33" s="428"/>
      <c r="Q33" s="428"/>
      <c r="R33" s="428"/>
      <c r="S33" s="428"/>
      <c r="T33" s="429"/>
      <c r="U33" s="426"/>
      <c r="V33" s="426"/>
      <c r="W33" s="426"/>
      <c r="X33" s="426"/>
      <c r="Y33" s="428"/>
      <c r="Z33" s="428"/>
      <c r="AA33" s="428"/>
      <c r="AC33" s="426"/>
      <c r="AD33" s="426"/>
      <c r="AE33" s="426"/>
      <c r="AF33" s="428"/>
      <c r="AG33" s="428"/>
      <c r="AH33" s="428"/>
      <c r="AJ33" s="426"/>
      <c r="AK33" s="426"/>
      <c r="AL33" s="426"/>
      <c r="AM33" s="426"/>
      <c r="AN33" s="426"/>
      <c r="AO33" s="426"/>
      <c r="AP33" s="426"/>
      <c r="AQ33" s="426"/>
      <c r="AR33" s="426"/>
      <c r="AS33" s="426"/>
      <c r="AT33" s="426"/>
      <c r="AU33" s="426"/>
      <c r="AV33" s="428"/>
      <c r="AW33" s="428"/>
      <c r="AX33" s="428"/>
      <c r="AZ33" s="426"/>
      <c r="BA33" s="426"/>
      <c r="BB33" s="426"/>
      <c r="BC33" s="426"/>
      <c r="BD33" s="426"/>
      <c r="BE33" s="426"/>
      <c r="BF33" s="426"/>
      <c r="BG33" s="426"/>
      <c r="BH33" s="428"/>
      <c r="BI33" s="428"/>
      <c r="BJ33" s="428"/>
    </row>
    <row r="34" spans="1:62" s="427" customFormat="1" hidden="1" x14ac:dyDescent="0.35">
      <c r="B34" s="432"/>
      <c r="C34" s="426"/>
      <c r="D34" s="428"/>
      <c r="E34" s="426"/>
      <c r="F34" s="426"/>
      <c r="H34" s="426"/>
      <c r="I34" s="426"/>
      <c r="J34" s="426"/>
      <c r="K34" s="426"/>
      <c r="L34" s="426"/>
      <c r="M34" s="426"/>
      <c r="N34" s="426"/>
      <c r="O34" s="426"/>
      <c r="P34" s="428"/>
      <c r="Q34" s="428"/>
      <c r="R34" s="428"/>
      <c r="S34" s="428"/>
      <c r="T34" s="429"/>
      <c r="U34" s="426"/>
      <c r="V34" s="426"/>
      <c r="W34" s="426"/>
      <c r="X34" s="426"/>
      <c r="Y34" s="428"/>
      <c r="Z34" s="428"/>
      <c r="AA34" s="428"/>
      <c r="AC34" s="426"/>
      <c r="AD34" s="426"/>
      <c r="AE34" s="426"/>
      <c r="AF34" s="428"/>
      <c r="AG34" s="428"/>
      <c r="AH34" s="428"/>
      <c r="AJ34" s="426"/>
      <c r="AK34" s="426"/>
      <c r="AL34" s="426"/>
      <c r="AM34" s="426"/>
      <c r="AN34" s="426"/>
      <c r="AO34" s="426"/>
      <c r="AP34" s="426"/>
      <c r="AQ34" s="426"/>
      <c r="AR34" s="426"/>
      <c r="AS34" s="426"/>
      <c r="AT34" s="426"/>
      <c r="AU34" s="426"/>
      <c r="AV34" s="428"/>
      <c r="AW34" s="428"/>
      <c r="AX34" s="428"/>
      <c r="AZ34" s="426"/>
      <c r="BA34" s="426"/>
      <c r="BB34" s="426"/>
      <c r="BC34" s="426"/>
      <c r="BD34" s="426"/>
      <c r="BE34" s="426"/>
      <c r="BF34" s="426"/>
      <c r="BG34" s="426"/>
      <c r="BH34" s="428"/>
      <c r="BI34" s="428"/>
      <c r="BJ34" s="428"/>
    </row>
    <row r="35" spans="1:62" s="427" customFormat="1" hidden="1" x14ac:dyDescent="0.35">
      <c r="D35" s="429"/>
      <c r="K35" s="426"/>
      <c r="L35" s="426"/>
      <c r="M35" s="426"/>
      <c r="N35" s="426"/>
      <c r="O35" s="426"/>
      <c r="P35" s="428"/>
      <c r="Q35" s="428"/>
      <c r="R35" s="428"/>
      <c r="S35" s="428"/>
      <c r="T35" s="429"/>
      <c r="U35" s="426"/>
      <c r="V35" s="426"/>
      <c r="W35" s="426"/>
      <c r="X35" s="426"/>
      <c r="Y35" s="428"/>
      <c r="Z35" s="428"/>
      <c r="AA35" s="428"/>
      <c r="AC35" s="426"/>
      <c r="AD35" s="426"/>
      <c r="AE35" s="426"/>
      <c r="AF35" s="428"/>
      <c r="AG35" s="428"/>
      <c r="AH35" s="428"/>
      <c r="AJ35" s="426"/>
      <c r="AK35" s="426"/>
      <c r="AL35" s="426"/>
      <c r="AM35" s="426"/>
      <c r="AN35" s="426"/>
      <c r="AO35" s="426"/>
      <c r="AP35" s="426"/>
      <c r="AQ35" s="426"/>
      <c r="AR35" s="426"/>
      <c r="AS35" s="426"/>
      <c r="AT35" s="426"/>
      <c r="AU35" s="426"/>
      <c r="AV35" s="428"/>
      <c r="AW35" s="428"/>
      <c r="AX35" s="428"/>
      <c r="AZ35" s="426"/>
      <c r="BA35" s="426"/>
      <c r="BB35" s="426"/>
      <c r="BC35" s="426"/>
      <c r="BD35" s="426"/>
      <c r="BE35" s="426"/>
      <c r="BF35" s="426"/>
      <c r="BG35" s="426"/>
      <c r="BH35" s="428"/>
      <c r="BI35" s="428"/>
      <c r="BJ35" s="428"/>
    </row>
    <row r="36" spans="1:62" s="427" customFormat="1" hidden="1" x14ac:dyDescent="0.35">
      <c r="B36" s="426"/>
      <c r="C36" s="426"/>
      <c r="D36" s="428"/>
      <c r="E36" s="426"/>
      <c r="F36" s="426"/>
      <c r="H36" s="426"/>
      <c r="I36" s="426"/>
      <c r="J36" s="426"/>
      <c r="K36" s="426"/>
      <c r="L36" s="426"/>
      <c r="M36" s="426"/>
      <c r="N36" s="426"/>
      <c r="O36" s="426"/>
      <c r="P36" s="428"/>
      <c r="Q36" s="428"/>
      <c r="R36" s="428"/>
      <c r="S36" s="428"/>
      <c r="T36" s="429"/>
      <c r="U36" s="426"/>
      <c r="V36" s="426"/>
      <c r="W36" s="426"/>
      <c r="X36" s="426"/>
      <c r="Y36" s="428"/>
      <c r="Z36" s="428"/>
      <c r="AA36" s="428"/>
      <c r="AC36" s="426"/>
      <c r="AD36" s="426"/>
      <c r="AE36" s="426"/>
      <c r="AF36" s="428"/>
      <c r="AG36" s="428"/>
      <c r="AH36" s="428"/>
      <c r="AJ36" s="426"/>
      <c r="AK36" s="426"/>
      <c r="AL36" s="426"/>
      <c r="AM36" s="426"/>
      <c r="AN36" s="426"/>
      <c r="AO36" s="426"/>
      <c r="AP36" s="426"/>
      <c r="AQ36" s="426"/>
      <c r="AR36" s="426"/>
      <c r="AS36" s="426"/>
      <c r="AT36" s="426"/>
      <c r="AU36" s="426"/>
      <c r="AV36" s="428"/>
      <c r="AW36" s="428"/>
      <c r="AX36" s="428"/>
      <c r="AZ36" s="426"/>
      <c r="BA36" s="426"/>
      <c r="BB36" s="426"/>
      <c r="BC36" s="426"/>
      <c r="BD36" s="426"/>
      <c r="BE36" s="426"/>
      <c r="BF36" s="426"/>
      <c r="BG36" s="426"/>
      <c r="BH36" s="428"/>
      <c r="BI36" s="428"/>
      <c r="BJ36" s="428"/>
    </row>
    <row r="37" spans="1:62" s="427" customFormat="1" hidden="1" x14ac:dyDescent="0.35">
      <c r="B37" s="426"/>
      <c r="C37" s="426"/>
      <c r="D37" s="428"/>
      <c r="E37" s="426"/>
      <c r="F37" s="426"/>
      <c r="H37" s="426"/>
      <c r="I37" s="426"/>
      <c r="J37" s="426"/>
      <c r="K37" s="426"/>
      <c r="L37" s="426"/>
      <c r="M37" s="426"/>
      <c r="N37" s="426"/>
      <c r="O37" s="426"/>
      <c r="P37" s="428"/>
      <c r="Q37" s="428"/>
      <c r="R37" s="428"/>
      <c r="S37" s="428"/>
      <c r="T37" s="429"/>
      <c r="U37" s="426"/>
      <c r="V37" s="426"/>
      <c r="W37" s="426"/>
      <c r="X37" s="426"/>
      <c r="Y37" s="428"/>
      <c r="Z37" s="428"/>
      <c r="AA37" s="428"/>
      <c r="AC37" s="426"/>
      <c r="AD37" s="426"/>
      <c r="AE37" s="426"/>
      <c r="AF37" s="428"/>
      <c r="AG37" s="428"/>
      <c r="AH37" s="428"/>
      <c r="AJ37" s="426"/>
      <c r="AK37" s="426"/>
      <c r="AL37" s="426"/>
      <c r="AM37" s="426"/>
      <c r="AN37" s="426"/>
      <c r="AO37" s="426"/>
      <c r="AP37" s="426"/>
      <c r="AQ37" s="426"/>
      <c r="AR37" s="426"/>
      <c r="AS37" s="426"/>
      <c r="AT37" s="426"/>
      <c r="AU37" s="426"/>
      <c r="AV37" s="428"/>
      <c r="AW37" s="428"/>
      <c r="AX37" s="428"/>
      <c r="AZ37" s="426"/>
      <c r="BA37" s="426"/>
      <c r="BB37" s="426"/>
      <c r="BC37" s="426"/>
      <c r="BD37" s="426"/>
      <c r="BE37" s="426"/>
      <c r="BF37" s="426"/>
      <c r="BG37" s="426"/>
      <c r="BH37" s="428"/>
      <c r="BI37" s="428"/>
      <c r="BJ37" s="428"/>
    </row>
    <row r="38" spans="1:62" s="427" customFormat="1" hidden="1" x14ac:dyDescent="0.35">
      <c r="B38" s="426"/>
      <c r="C38" s="426"/>
      <c r="D38" s="428"/>
      <c r="E38" s="426"/>
      <c r="F38" s="426"/>
      <c r="H38" s="426"/>
      <c r="I38" s="426"/>
      <c r="J38" s="426"/>
      <c r="K38" s="426"/>
      <c r="L38" s="426"/>
      <c r="M38" s="426"/>
      <c r="N38" s="426"/>
      <c r="O38" s="426"/>
      <c r="P38" s="428"/>
      <c r="Q38" s="428"/>
      <c r="R38" s="428"/>
      <c r="S38" s="428"/>
      <c r="T38" s="429"/>
      <c r="U38" s="426"/>
      <c r="V38" s="426"/>
      <c r="W38" s="426"/>
      <c r="X38" s="426"/>
      <c r="Y38" s="428"/>
      <c r="Z38" s="428"/>
      <c r="AA38" s="428"/>
      <c r="AC38" s="426"/>
      <c r="AD38" s="426"/>
      <c r="AE38" s="426"/>
      <c r="AF38" s="428"/>
      <c r="AG38" s="428"/>
      <c r="AH38" s="428"/>
      <c r="AJ38" s="426"/>
      <c r="AK38" s="426"/>
      <c r="AL38" s="426"/>
      <c r="AM38" s="426"/>
      <c r="AN38" s="426"/>
      <c r="AO38" s="426"/>
      <c r="AP38" s="426"/>
      <c r="AQ38" s="426"/>
      <c r="AR38" s="426"/>
      <c r="AS38" s="426"/>
      <c r="AT38" s="426"/>
      <c r="AU38" s="426"/>
      <c r="AV38" s="428"/>
      <c r="AW38" s="428"/>
      <c r="AX38" s="428"/>
      <c r="AZ38" s="426"/>
      <c r="BA38" s="426"/>
      <c r="BB38" s="426"/>
      <c r="BC38" s="426"/>
      <c r="BD38" s="426"/>
      <c r="BE38" s="426"/>
      <c r="BF38" s="426"/>
      <c r="BG38" s="426"/>
      <c r="BH38" s="428"/>
      <c r="BI38" s="428"/>
      <c r="BJ38" s="428"/>
    </row>
    <row r="39" spans="1:62" s="427" customFormat="1" hidden="1" x14ac:dyDescent="0.35">
      <c r="B39" s="426"/>
      <c r="C39" s="426"/>
      <c r="D39" s="428"/>
      <c r="E39" s="426"/>
      <c r="F39" s="426"/>
      <c r="H39" s="426"/>
      <c r="I39" s="426"/>
      <c r="J39" s="426"/>
      <c r="K39" s="426"/>
      <c r="L39" s="426"/>
      <c r="M39" s="426"/>
      <c r="N39" s="426"/>
      <c r="O39" s="426"/>
      <c r="P39" s="428"/>
      <c r="Q39" s="428"/>
      <c r="R39" s="428"/>
      <c r="S39" s="428"/>
      <c r="T39" s="429"/>
      <c r="U39" s="426"/>
      <c r="V39" s="426"/>
      <c r="W39" s="426"/>
      <c r="X39" s="426"/>
      <c r="Y39" s="428"/>
      <c r="Z39" s="428"/>
      <c r="AA39" s="428"/>
      <c r="AC39" s="426"/>
      <c r="AD39" s="426"/>
      <c r="AE39" s="426"/>
      <c r="AF39" s="428"/>
      <c r="AG39" s="428"/>
      <c r="AH39" s="428"/>
      <c r="AJ39" s="426"/>
      <c r="AK39" s="426"/>
      <c r="AL39" s="426"/>
      <c r="AM39" s="426"/>
      <c r="AN39" s="426"/>
      <c r="AO39" s="426"/>
      <c r="AP39" s="426"/>
      <c r="AQ39" s="426"/>
      <c r="AR39" s="426"/>
      <c r="AS39" s="426"/>
      <c r="AT39" s="426"/>
      <c r="AU39" s="426"/>
      <c r="AV39" s="428"/>
      <c r="AW39" s="428"/>
      <c r="AX39" s="428"/>
      <c r="AZ39" s="426"/>
      <c r="BA39" s="426"/>
      <c r="BB39" s="426"/>
      <c r="BC39" s="426"/>
      <c r="BD39" s="426"/>
      <c r="BE39" s="426"/>
      <c r="BF39" s="426"/>
      <c r="BG39" s="426"/>
      <c r="BH39" s="428"/>
      <c r="BI39" s="428"/>
      <c r="BJ39" s="428"/>
    </row>
    <row r="40" spans="1:62" s="427" customFormat="1" hidden="1" x14ac:dyDescent="0.35">
      <c r="B40" s="426"/>
      <c r="C40" s="426"/>
      <c r="D40" s="428"/>
      <c r="E40" s="426"/>
      <c r="F40" s="426"/>
      <c r="H40" s="426"/>
      <c r="I40" s="426"/>
      <c r="J40" s="426"/>
      <c r="K40" s="426"/>
      <c r="L40" s="426"/>
      <c r="M40" s="426"/>
      <c r="N40" s="426"/>
      <c r="O40" s="426"/>
      <c r="P40" s="428"/>
      <c r="Q40" s="428"/>
      <c r="R40" s="428"/>
      <c r="S40" s="428"/>
      <c r="T40" s="429"/>
      <c r="U40" s="426"/>
      <c r="V40" s="426"/>
      <c r="W40" s="426"/>
      <c r="X40" s="426"/>
      <c r="Y40" s="428"/>
      <c r="Z40" s="428"/>
      <c r="AA40" s="428"/>
      <c r="AC40" s="426"/>
      <c r="AD40" s="426"/>
      <c r="AE40" s="426"/>
      <c r="AF40" s="428"/>
      <c r="AG40" s="428"/>
      <c r="AH40" s="428"/>
      <c r="AJ40" s="426"/>
      <c r="AK40" s="426"/>
      <c r="AL40" s="426"/>
      <c r="AM40" s="426"/>
      <c r="AN40" s="426"/>
      <c r="AO40" s="426"/>
      <c r="AP40" s="426"/>
      <c r="AQ40" s="426"/>
      <c r="AR40" s="426"/>
      <c r="AS40" s="426"/>
      <c r="AT40" s="426"/>
      <c r="AU40" s="426"/>
      <c r="AV40" s="428"/>
      <c r="AW40" s="428"/>
      <c r="AX40" s="428"/>
      <c r="AZ40" s="426"/>
      <c r="BA40" s="426"/>
      <c r="BB40" s="426"/>
      <c r="BC40" s="426"/>
      <c r="BD40" s="426"/>
      <c r="BE40" s="426"/>
      <c r="BF40" s="426"/>
      <c r="BG40" s="426"/>
      <c r="BH40" s="428"/>
      <c r="BI40" s="428"/>
      <c r="BJ40" s="428"/>
    </row>
    <row r="41" spans="1:62" s="427" customFormat="1" hidden="1" x14ac:dyDescent="0.35">
      <c r="B41" s="426"/>
      <c r="C41" s="426"/>
      <c r="D41" s="428"/>
      <c r="E41" s="426"/>
      <c r="F41" s="426"/>
      <c r="H41" s="426"/>
      <c r="I41" s="426"/>
      <c r="J41" s="426"/>
      <c r="K41" s="426"/>
      <c r="L41" s="426"/>
      <c r="M41" s="426"/>
      <c r="N41" s="426"/>
      <c r="O41" s="426"/>
      <c r="P41" s="428"/>
      <c r="Q41" s="428"/>
      <c r="R41" s="428"/>
      <c r="S41" s="428"/>
      <c r="T41" s="429"/>
      <c r="U41" s="426"/>
      <c r="V41" s="426"/>
      <c r="W41" s="426"/>
      <c r="X41" s="426"/>
      <c r="Y41" s="428"/>
      <c r="Z41" s="428"/>
      <c r="AA41" s="428"/>
      <c r="AC41" s="426"/>
      <c r="AD41" s="426"/>
      <c r="AE41" s="426"/>
      <c r="AF41" s="428"/>
      <c r="AG41" s="428"/>
      <c r="AH41" s="428"/>
      <c r="AJ41" s="426"/>
      <c r="AK41" s="426"/>
      <c r="AL41" s="426"/>
      <c r="AM41" s="426"/>
      <c r="AN41" s="426"/>
      <c r="AO41" s="426"/>
      <c r="AP41" s="426"/>
      <c r="AQ41" s="426"/>
      <c r="AR41" s="426"/>
      <c r="AS41" s="426"/>
      <c r="AT41" s="426"/>
      <c r="AU41" s="426"/>
      <c r="AV41" s="428"/>
      <c r="AW41" s="428"/>
      <c r="AX41" s="428"/>
      <c r="AZ41" s="426"/>
      <c r="BA41" s="426"/>
      <c r="BB41" s="426"/>
      <c r="BC41" s="426"/>
      <c r="BD41" s="426"/>
      <c r="BE41" s="426"/>
      <c r="BF41" s="426"/>
      <c r="BG41" s="426"/>
      <c r="BH41" s="428"/>
      <c r="BI41" s="428"/>
      <c r="BJ41" s="428"/>
    </row>
    <row r="42" spans="1:62" s="427" customFormat="1" hidden="1" x14ac:dyDescent="0.35">
      <c r="B42" s="426"/>
      <c r="C42" s="426"/>
      <c r="D42" s="428"/>
      <c r="E42" s="426"/>
      <c r="F42" s="426"/>
      <c r="H42" s="426"/>
      <c r="I42" s="426"/>
      <c r="J42" s="426"/>
      <c r="K42" s="426"/>
      <c r="L42" s="426"/>
      <c r="M42" s="426"/>
      <c r="N42" s="426"/>
      <c r="O42" s="426"/>
      <c r="P42" s="428"/>
      <c r="Q42" s="428"/>
      <c r="R42" s="428"/>
      <c r="S42" s="428"/>
      <c r="T42" s="429"/>
      <c r="U42" s="426"/>
      <c r="V42" s="426"/>
      <c r="W42" s="426"/>
      <c r="X42" s="426"/>
      <c r="Y42" s="428"/>
      <c r="Z42" s="428"/>
      <c r="AA42" s="428"/>
      <c r="AC42" s="426"/>
      <c r="AD42" s="426"/>
      <c r="AE42" s="426"/>
      <c r="AF42" s="428"/>
      <c r="AG42" s="428"/>
      <c r="AH42" s="428"/>
      <c r="AJ42" s="426"/>
      <c r="AK42" s="426"/>
      <c r="AL42" s="426"/>
      <c r="AM42" s="426"/>
      <c r="AN42" s="426"/>
      <c r="AO42" s="426"/>
      <c r="AP42" s="426"/>
      <c r="AQ42" s="426"/>
      <c r="AR42" s="426"/>
      <c r="AS42" s="426"/>
      <c r="AT42" s="426"/>
      <c r="AU42" s="426"/>
      <c r="AV42" s="428"/>
      <c r="AW42" s="428"/>
      <c r="AX42" s="428"/>
      <c r="AZ42" s="426"/>
      <c r="BA42" s="426"/>
      <c r="BB42" s="426"/>
      <c r="BC42" s="426"/>
      <c r="BD42" s="426"/>
      <c r="BE42" s="426"/>
      <c r="BF42" s="426"/>
      <c r="BG42" s="426"/>
      <c r="BH42" s="428"/>
      <c r="BI42" s="428"/>
      <c r="BJ42" s="428"/>
    </row>
    <row r="43" spans="1:62" s="427" customFormat="1" hidden="1" x14ac:dyDescent="0.35">
      <c r="B43" s="426"/>
      <c r="C43" s="426"/>
      <c r="D43" s="428"/>
      <c r="E43" s="426"/>
      <c r="F43" s="426"/>
      <c r="H43" s="426"/>
      <c r="I43" s="426"/>
      <c r="J43" s="426"/>
      <c r="K43" s="426"/>
      <c r="L43" s="426"/>
      <c r="M43" s="426"/>
      <c r="N43" s="426"/>
      <c r="O43" s="426"/>
      <c r="P43" s="428"/>
      <c r="Q43" s="428"/>
      <c r="R43" s="428"/>
      <c r="S43" s="428"/>
      <c r="T43" s="429"/>
      <c r="U43" s="426"/>
      <c r="V43" s="426"/>
      <c r="W43" s="426"/>
      <c r="X43" s="426"/>
      <c r="Y43" s="428"/>
      <c r="Z43" s="428"/>
      <c r="AA43" s="428"/>
      <c r="AC43" s="426"/>
      <c r="AD43" s="426"/>
      <c r="AE43" s="426"/>
      <c r="AF43" s="428"/>
      <c r="AG43" s="428"/>
      <c r="AH43" s="428"/>
      <c r="AJ43" s="426"/>
      <c r="AK43" s="426"/>
      <c r="AL43" s="426"/>
      <c r="AM43" s="426"/>
      <c r="AN43" s="426"/>
      <c r="AO43" s="426"/>
      <c r="AP43" s="426"/>
      <c r="AQ43" s="426"/>
      <c r="AR43" s="426"/>
      <c r="AS43" s="426"/>
      <c r="AT43" s="426"/>
      <c r="AU43" s="426"/>
      <c r="AV43" s="428"/>
      <c r="AW43" s="428"/>
      <c r="AX43" s="428"/>
      <c r="AZ43" s="426"/>
      <c r="BA43" s="426"/>
      <c r="BB43" s="426"/>
      <c r="BC43" s="426"/>
      <c r="BD43" s="426"/>
      <c r="BE43" s="426"/>
      <c r="BF43" s="426"/>
      <c r="BG43" s="426"/>
      <c r="BH43" s="428"/>
      <c r="BI43" s="428"/>
      <c r="BJ43" s="428"/>
    </row>
    <row r="44" spans="1:62" s="427" customFormat="1" hidden="1" x14ac:dyDescent="0.35">
      <c r="B44" s="426"/>
      <c r="C44" s="426"/>
      <c r="D44" s="428"/>
      <c r="E44" s="426"/>
      <c r="F44" s="426"/>
      <c r="H44" s="426"/>
      <c r="I44" s="426"/>
      <c r="J44" s="426"/>
      <c r="K44" s="426"/>
      <c r="L44" s="426"/>
      <c r="M44" s="426"/>
      <c r="N44" s="426"/>
      <c r="O44" s="426"/>
      <c r="P44" s="428"/>
      <c r="Q44" s="428"/>
      <c r="R44" s="428"/>
      <c r="S44" s="428"/>
      <c r="T44" s="429"/>
      <c r="U44" s="426"/>
      <c r="V44" s="426"/>
      <c r="W44" s="426"/>
      <c r="X44" s="426"/>
      <c r="Y44" s="428"/>
      <c r="Z44" s="428"/>
      <c r="AA44" s="428"/>
      <c r="AC44" s="426"/>
      <c r="AD44" s="426"/>
      <c r="AE44" s="426"/>
      <c r="AF44" s="428"/>
      <c r="AG44" s="428"/>
      <c r="AH44" s="428"/>
      <c r="AJ44" s="426"/>
      <c r="AK44" s="426"/>
      <c r="AL44" s="426"/>
      <c r="AM44" s="426"/>
      <c r="AN44" s="426"/>
      <c r="AO44" s="426"/>
      <c r="AP44" s="426"/>
      <c r="AQ44" s="426"/>
      <c r="AR44" s="426"/>
      <c r="AS44" s="426"/>
      <c r="AT44" s="426"/>
      <c r="AU44" s="426"/>
      <c r="AV44" s="428"/>
      <c r="AW44" s="428"/>
      <c r="AX44" s="428"/>
      <c r="AZ44" s="426"/>
      <c r="BA44" s="426"/>
      <c r="BB44" s="426"/>
      <c r="BC44" s="426"/>
      <c r="BD44" s="426"/>
      <c r="BE44" s="426"/>
      <c r="BF44" s="426"/>
      <c r="BG44" s="426"/>
      <c r="BH44" s="428"/>
      <c r="BI44" s="428"/>
      <c r="BJ44" s="428"/>
    </row>
    <row r="45" spans="1:62" s="427" customFormat="1" hidden="1" x14ac:dyDescent="0.35">
      <c r="B45" s="426"/>
      <c r="C45" s="426"/>
      <c r="D45" s="428"/>
      <c r="E45" s="426"/>
      <c r="F45" s="426"/>
      <c r="H45" s="426"/>
      <c r="I45" s="426"/>
      <c r="J45" s="426"/>
      <c r="K45" s="426"/>
      <c r="L45" s="426"/>
      <c r="M45" s="426"/>
      <c r="N45" s="426"/>
      <c r="O45" s="426"/>
      <c r="P45" s="428"/>
      <c r="Q45" s="428"/>
      <c r="R45" s="428"/>
      <c r="S45" s="428"/>
      <c r="T45" s="429"/>
      <c r="U45" s="426"/>
      <c r="V45" s="426"/>
      <c r="W45" s="426"/>
      <c r="X45" s="426"/>
      <c r="Y45" s="428"/>
      <c r="Z45" s="428"/>
      <c r="AA45" s="428"/>
      <c r="AC45" s="426"/>
      <c r="AD45" s="426"/>
      <c r="AE45" s="426"/>
      <c r="AF45" s="428"/>
      <c r="AG45" s="428"/>
      <c r="AH45" s="428"/>
      <c r="AJ45" s="426"/>
      <c r="AK45" s="426"/>
      <c r="AL45" s="426"/>
      <c r="AM45" s="426"/>
      <c r="AN45" s="426"/>
      <c r="AO45" s="426"/>
      <c r="AP45" s="426"/>
      <c r="AQ45" s="426"/>
      <c r="AR45" s="426"/>
      <c r="AS45" s="426"/>
      <c r="AT45" s="426"/>
      <c r="AU45" s="426"/>
      <c r="AV45" s="428"/>
      <c r="AW45" s="428"/>
      <c r="AX45" s="428"/>
      <c r="AZ45" s="426"/>
      <c r="BA45" s="426"/>
      <c r="BB45" s="426"/>
      <c r="BC45" s="426"/>
      <c r="BD45" s="426"/>
      <c r="BE45" s="426"/>
      <c r="BF45" s="426"/>
      <c r="BG45" s="426"/>
      <c r="BH45" s="428"/>
      <c r="BI45" s="428"/>
      <c r="BJ45" s="428"/>
    </row>
    <row r="46" spans="1:62" s="427" customFormat="1" hidden="1" x14ac:dyDescent="0.35">
      <c r="B46" s="426"/>
      <c r="C46" s="426"/>
      <c r="D46" s="428"/>
      <c r="E46" s="426"/>
      <c r="F46" s="426"/>
      <c r="H46" s="426"/>
      <c r="I46" s="426"/>
      <c r="J46" s="426"/>
      <c r="K46" s="426"/>
      <c r="L46" s="426"/>
      <c r="M46" s="426"/>
      <c r="N46" s="426"/>
      <c r="O46" s="426"/>
      <c r="P46" s="428"/>
      <c r="Q46" s="428"/>
      <c r="R46" s="428"/>
      <c r="S46" s="428"/>
      <c r="T46" s="429"/>
      <c r="U46" s="426"/>
      <c r="V46" s="426"/>
      <c r="W46" s="426"/>
      <c r="X46" s="426"/>
      <c r="Y46" s="428"/>
      <c r="Z46" s="428"/>
      <c r="AA46" s="428"/>
      <c r="AC46" s="426"/>
      <c r="AD46" s="426"/>
      <c r="AE46" s="426"/>
      <c r="AF46" s="428"/>
      <c r="AG46" s="428"/>
      <c r="AH46" s="428"/>
      <c r="AJ46" s="426"/>
      <c r="AK46" s="426"/>
      <c r="AL46" s="426"/>
      <c r="AM46" s="426"/>
      <c r="AN46" s="426"/>
      <c r="AO46" s="426"/>
      <c r="AP46" s="426"/>
      <c r="AQ46" s="426"/>
      <c r="AR46" s="426"/>
      <c r="AS46" s="426"/>
      <c r="AT46" s="426"/>
      <c r="AU46" s="426"/>
      <c r="AV46" s="428"/>
      <c r="AW46" s="428"/>
      <c r="AX46" s="428"/>
      <c r="AZ46" s="426"/>
      <c r="BA46" s="426"/>
      <c r="BB46" s="426"/>
      <c r="BC46" s="426"/>
      <c r="BD46" s="426"/>
      <c r="BE46" s="426"/>
      <c r="BF46" s="426"/>
      <c r="BG46" s="426"/>
      <c r="BH46" s="428"/>
      <c r="BI46" s="428"/>
      <c r="BJ46" s="428"/>
    </row>
    <row r="47" spans="1:62" s="427" customFormat="1" hidden="1" x14ac:dyDescent="0.35">
      <c r="A47" s="427">
        <v>1</v>
      </c>
      <c r="B47" s="434" t="b">
        <f>AND(8.9&lt;E21,E21&lt;10)</f>
        <v>0</v>
      </c>
      <c r="C47" s="434">
        <f>IF(B47,1,0)</f>
        <v>0</v>
      </c>
      <c r="D47" s="428"/>
      <c r="E47" s="426"/>
      <c r="F47" s="426">
        <f>IF(B28="3.1.1",1,0)</f>
        <v>0</v>
      </c>
      <c r="H47" s="426"/>
      <c r="I47" s="426"/>
      <c r="J47" s="426"/>
      <c r="K47" s="426"/>
      <c r="L47" s="426"/>
      <c r="M47" s="426"/>
      <c r="N47" s="426"/>
      <c r="O47" s="426"/>
      <c r="P47" s="428"/>
      <c r="Q47" s="428"/>
      <c r="R47" s="428"/>
      <c r="S47" s="428"/>
      <c r="T47" s="429"/>
      <c r="U47" s="426"/>
      <c r="V47" s="426"/>
      <c r="W47" s="426"/>
      <c r="X47" s="426"/>
      <c r="Y47" s="428"/>
      <c r="Z47" s="428"/>
      <c r="AA47" s="428"/>
      <c r="AC47" s="426"/>
      <c r="AD47" s="426"/>
      <c r="AE47" s="426"/>
      <c r="AF47" s="428"/>
      <c r="AG47" s="428"/>
      <c r="AH47" s="428"/>
      <c r="AJ47" s="426"/>
      <c r="AK47" s="426"/>
      <c r="AL47" s="426"/>
      <c r="AM47" s="426"/>
      <c r="AN47" s="426"/>
      <c r="AO47" s="426"/>
      <c r="AP47" s="426"/>
      <c r="AQ47" s="426"/>
      <c r="AR47" s="426"/>
      <c r="AS47" s="426"/>
      <c r="AT47" s="426"/>
      <c r="AU47" s="426"/>
      <c r="AV47" s="428"/>
      <c r="AW47" s="428"/>
      <c r="AX47" s="428"/>
      <c r="AZ47" s="426"/>
      <c r="BA47" s="426"/>
      <c r="BB47" s="426"/>
      <c r="BC47" s="426"/>
      <c r="BD47" s="426"/>
      <c r="BE47" s="426"/>
      <c r="BF47" s="426"/>
      <c r="BG47" s="426"/>
      <c r="BH47" s="428"/>
      <c r="BI47" s="428"/>
      <c r="BJ47" s="428"/>
    </row>
    <row r="48" spans="1:62" s="427" customFormat="1" hidden="1" x14ac:dyDescent="0.35">
      <c r="A48" s="427">
        <v>2</v>
      </c>
      <c r="B48" s="434" t="b">
        <f>AND(6.99&lt;E21,E21&lt;9)</f>
        <v>0</v>
      </c>
      <c r="C48" s="434">
        <f>IF(B48,2,0)</f>
        <v>0</v>
      </c>
      <c r="D48" s="428"/>
      <c r="E48" s="426"/>
      <c r="F48" s="426">
        <f>IF(B29="3.1.6",1,0)</f>
        <v>0</v>
      </c>
      <c r="H48" s="426"/>
      <c r="I48" s="426"/>
      <c r="J48" s="426"/>
      <c r="K48" s="426"/>
      <c r="L48" s="426"/>
      <c r="M48" s="426"/>
      <c r="N48" s="426"/>
      <c r="O48" s="426"/>
      <c r="P48" s="428"/>
      <c r="Q48" s="428"/>
      <c r="R48" s="428"/>
      <c r="S48" s="428"/>
      <c r="T48" s="429"/>
      <c r="U48" s="426"/>
      <c r="V48" s="426"/>
      <c r="W48" s="426"/>
      <c r="X48" s="426"/>
      <c r="Y48" s="428"/>
      <c r="Z48" s="428"/>
      <c r="AA48" s="428"/>
      <c r="AC48" s="426"/>
      <c r="AD48" s="426"/>
      <c r="AE48" s="426"/>
      <c r="AF48" s="428"/>
      <c r="AG48" s="428"/>
      <c r="AH48" s="428"/>
      <c r="AJ48" s="426"/>
      <c r="AK48" s="426"/>
      <c r="AL48" s="426"/>
      <c r="AM48" s="426"/>
      <c r="AN48" s="426"/>
      <c r="AO48" s="426"/>
      <c r="AP48" s="426"/>
      <c r="AQ48" s="426"/>
      <c r="AR48" s="426"/>
      <c r="AS48" s="426"/>
      <c r="AT48" s="426"/>
      <c r="AU48" s="426"/>
      <c r="AV48" s="428"/>
      <c r="AW48" s="428"/>
      <c r="AX48" s="428"/>
      <c r="AZ48" s="426"/>
      <c r="BA48" s="426"/>
      <c r="BB48" s="426"/>
      <c r="BC48" s="426"/>
      <c r="BD48" s="426"/>
      <c r="BE48" s="426"/>
      <c r="BF48" s="426"/>
      <c r="BG48" s="426"/>
      <c r="BH48" s="428"/>
      <c r="BI48" s="428"/>
      <c r="BJ48" s="428"/>
    </row>
    <row r="49" spans="1:62" s="427" customFormat="1" hidden="1" x14ac:dyDescent="0.35">
      <c r="A49" s="427">
        <v>3</v>
      </c>
      <c r="B49" s="434" t="b">
        <f>AND(4.99&lt;E21,E21&lt;7)</f>
        <v>0</v>
      </c>
      <c r="C49" s="434">
        <f>IF(B49,3,0)</f>
        <v>0</v>
      </c>
      <c r="D49" s="428"/>
      <c r="E49" s="426"/>
      <c r="F49" s="426">
        <f>IF(B30="3.1.6",1,0)</f>
        <v>0</v>
      </c>
      <c r="H49" s="426"/>
      <c r="I49" s="426"/>
      <c r="J49" s="426"/>
      <c r="K49" s="426"/>
      <c r="L49" s="426"/>
      <c r="M49" s="426"/>
      <c r="N49" s="426"/>
      <c r="O49" s="426"/>
      <c r="P49" s="428"/>
      <c r="Q49" s="428"/>
      <c r="R49" s="428"/>
      <c r="S49" s="428"/>
      <c r="T49" s="429"/>
      <c r="U49" s="426"/>
      <c r="V49" s="426"/>
      <c r="W49" s="426"/>
      <c r="X49" s="426"/>
      <c r="Y49" s="428"/>
      <c r="Z49" s="428"/>
      <c r="AA49" s="428"/>
      <c r="AC49" s="426"/>
      <c r="AD49" s="426"/>
      <c r="AE49" s="426"/>
      <c r="AF49" s="428"/>
      <c r="AG49" s="428"/>
      <c r="AH49" s="428"/>
      <c r="AJ49" s="426"/>
      <c r="AK49" s="426"/>
      <c r="AL49" s="426"/>
      <c r="AM49" s="426"/>
      <c r="AN49" s="426"/>
      <c r="AO49" s="426"/>
      <c r="AP49" s="426"/>
      <c r="AQ49" s="426"/>
      <c r="AR49" s="426"/>
      <c r="AS49" s="426"/>
      <c r="AT49" s="426"/>
      <c r="AU49" s="426"/>
      <c r="AV49" s="428"/>
      <c r="AW49" s="428"/>
      <c r="AX49" s="428"/>
      <c r="AZ49" s="426"/>
      <c r="BA49" s="426"/>
      <c r="BB49" s="426"/>
      <c r="BC49" s="426"/>
      <c r="BD49" s="426"/>
      <c r="BE49" s="426"/>
      <c r="BF49" s="426"/>
      <c r="BG49" s="426"/>
      <c r="BH49" s="428"/>
      <c r="BI49" s="428"/>
      <c r="BJ49" s="428"/>
    </row>
    <row r="50" spans="1:62" s="427" customFormat="1" hidden="1" x14ac:dyDescent="0.35">
      <c r="A50" s="427">
        <v>4</v>
      </c>
      <c r="B50" s="434" t="b">
        <f>AND(-0.01&lt;E21,E21&lt;5)</f>
        <v>1</v>
      </c>
      <c r="C50" s="434">
        <f>IF(B50,4,0)</f>
        <v>4</v>
      </c>
      <c r="D50" s="428"/>
      <c r="E50" s="426"/>
      <c r="F50" s="426">
        <f>IF(B31="3.1.8",1,0)</f>
        <v>0</v>
      </c>
      <c r="H50" s="426"/>
      <c r="I50" s="426"/>
      <c r="J50" s="426"/>
      <c r="K50" s="426"/>
      <c r="L50" s="426"/>
      <c r="M50" s="426"/>
      <c r="N50" s="426"/>
      <c r="O50" s="426"/>
      <c r="P50" s="428"/>
      <c r="Q50" s="428"/>
      <c r="R50" s="428"/>
      <c r="S50" s="428"/>
      <c r="T50" s="429"/>
      <c r="U50" s="426"/>
      <c r="V50" s="426"/>
      <c r="W50" s="426"/>
      <c r="X50" s="426"/>
      <c r="Y50" s="428"/>
      <c r="Z50" s="428"/>
      <c r="AA50" s="428"/>
      <c r="AC50" s="426"/>
      <c r="AD50" s="426"/>
      <c r="AE50" s="426"/>
      <c r="AF50" s="428"/>
      <c r="AG50" s="428"/>
      <c r="AH50" s="428"/>
      <c r="AJ50" s="426"/>
      <c r="AK50" s="426"/>
      <c r="AL50" s="426"/>
      <c r="AM50" s="426"/>
      <c r="AN50" s="426"/>
      <c r="AO50" s="426"/>
      <c r="AP50" s="426"/>
      <c r="AQ50" s="426"/>
      <c r="AR50" s="426"/>
      <c r="AS50" s="426"/>
      <c r="AT50" s="426"/>
      <c r="AU50" s="426"/>
      <c r="AV50" s="428"/>
      <c r="AW50" s="428"/>
      <c r="AX50" s="428"/>
      <c r="AZ50" s="426"/>
      <c r="BA50" s="426"/>
      <c r="BB50" s="426"/>
      <c r="BC50" s="426"/>
      <c r="BD50" s="426"/>
      <c r="BE50" s="426"/>
      <c r="BF50" s="426"/>
      <c r="BG50" s="426"/>
      <c r="BH50" s="428"/>
      <c r="BI50" s="428"/>
      <c r="BJ50" s="428"/>
    </row>
    <row r="51" spans="1:62" s="427" customFormat="1" hidden="1" x14ac:dyDescent="0.35">
      <c r="A51" s="435"/>
      <c r="B51" s="435"/>
      <c r="C51" s="426">
        <f>SUM(C47:C50)</f>
        <v>4</v>
      </c>
      <c r="D51" s="428"/>
      <c r="E51" s="426"/>
      <c r="F51" s="426">
        <f>IF(B32="3.1.9",1,0)</f>
        <v>0</v>
      </c>
      <c r="H51" s="426"/>
      <c r="I51" s="426"/>
      <c r="J51" s="426"/>
      <c r="K51" s="426"/>
      <c r="L51" s="426"/>
      <c r="M51" s="426"/>
      <c r="N51" s="426"/>
      <c r="O51" s="426"/>
      <c r="P51" s="428"/>
      <c r="Q51" s="428"/>
      <c r="R51" s="428"/>
      <c r="S51" s="428"/>
      <c r="T51" s="429"/>
      <c r="U51" s="426"/>
      <c r="V51" s="426"/>
      <c r="W51" s="426"/>
      <c r="X51" s="426"/>
      <c r="Y51" s="428"/>
      <c r="Z51" s="428"/>
      <c r="AA51" s="428"/>
      <c r="AC51" s="426"/>
      <c r="AD51" s="426"/>
      <c r="AE51" s="426"/>
      <c r="AF51" s="428"/>
      <c r="AG51" s="428"/>
      <c r="AH51" s="428"/>
      <c r="AJ51" s="426"/>
      <c r="AK51" s="426"/>
      <c r="AL51" s="426"/>
      <c r="AM51" s="426"/>
      <c r="AN51" s="426"/>
      <c r="AO51" s="426"/>
      <c r="AP51" s="426"/>
      <c r="AQ51" s="426"/>
      <c r="AR51" s="426"/>
      <c r="AS51" s="426"/>
      <c r="AT51" s="426"/>
      <c r="AU51" s="426"/>
      <c r="AV51" s="428"/>
      <c r="AW51" s="428"/>
      <c r="AX51" s="428"/>
      <c r="AZ51" s="426"/>
      <c r="BA51" s="426"/>
      <c r="BB51" s="426"/>
      <c r="BC51" s="426"/>
      <c r="BD51" s="426"/>
      <c r="BE51" s="426"/>
      <c r="BF51" s="426"/>
      <c r="BG51" s="426"/>
      <c r="BH51" s="428"/>
      <c r="BI51" s="428"/>
      <c r="BJ51" s="428"/>
    </row>
    <row r="52" spans="1:62" s="427" customFormat="1" hidden="1" x14ac:dyDescent="0.35">
      <c r="A52" s="435"/>
      <c r="B52" s="435"/>
      <c r="C52" s="426"/>
      <c r="D52" s="428"/>
      <c r="E52" s="426"/>
      <c r="F52" s="426">
        <f>IF(B33="3.1.14",1,0)</f>
        <v>0</v>
      </c>
      <c r="H52" s="426"/>
      <c r="I52" s="426"/>
      <c r="J52" s="426"/>
      <c r="K52" s="426"/>
      <c r="L52" s="426"/>
      <c r="M52" s="426"/>
      <c r="N52" s="426"/>
      <c r="O52" s="426"/>
      <c r="P52" s="428"/>
      <c r="Q52" s="428"/>
      <c r="R52" s="428"/>
      <c r="S52" s="428"/>
      <c r="T52" s="429"/>
      <c r="U52" s="426"/>
      <c r="V52" s="426"/>
      <c r="W52" s="426"/>
      <c r="X52" s="426"/>
      <c r="Y52" s="428"/>
      <c r="Z52" s="428"/>
      <c r="AA52" s="428"/>
      <c r="AC52" s="426"/>
      <c r="AD52" s="426"/>
      <c r="AE52" s="426"/>
      <c r="AF52" s="428"/>
      <c r="AG52" s="428"/>
      <c r="AH52" s="428"/>
      <c r="AJ52" s="426"/>
      <c r="AK52" s="426"/>
      <c r="AL52" s="426"/>
      <c r="AM52" s="426"/>
      <c r="AN52" s="426"/>
      <c r="AO52" s="426"/>
      <c r="AP52" s="426"/>
      <c r="AQ52" s="426"/>
      <c r="AR52" s="426"/>
      <c r="AS52" s="426"/>
      <c r="AT52" s="426"/>
      <c r="AU52" s="426"/>
      <c r="AV52" s="428"/>
      <c r="AW52" s="428"/>
      <c r="AX52" s="428"/>
      <c r="AZ52" s="426"/>
      <c r="BA52" s="426"/>
      <c r="BB52" s="426"/>
      <c r="BC52" s="426"/>
      <c r="BD52" s="426"/>
      <c r="BE52" s="426"/>
      <c r="BF52" s="426"/>
      <c r="BG52" s="426"/>
      <c r="BH52" s="428"/>
      <c r="BI52" s="428"/>
      <c r="BJ52" s="428"/>
    </row>
    <row r="53" spans="1:62" s="427" customFormat="1" hidden="1" x14ac:dyDescent="0.35">
      <c r="A53" s="435"/>
      <c r="B53" s="435"/>
      <c r="C53" s="426"/>
      <c r="D53" s="428"/>
      <c r="E53" s="426"/>
      <c r="F53" s="426">
        <f>SUM(F47:F52)</f>
        <v>0</v>
      </c>
      <c r="H53" s="426"/>
      <c r="I53" s="426"/>
      <c r="J53" s="426"/>
      <c r="K53" s="426"/>
      <c r="L53" s="426"/>
      <c r="M53" s="426"/>
      <c r="N53" s="426"/>
      <c r="O53" s="426"/>
      <c r="P53" s="428"/>
      <c r="Q53" s="428"/>
      <c r="R53" s="428"/>
      <c r="S53" s="428"/>
      <c r="T53" s="429"/>
      <c r="U53" s="426"/>
      <c r="V53" s="426"/>
      <c r="W53" s="426"/>
      <c r="X53" s="426"/>
      <c r="Y53" s="428"/>
      <c r="Z53" s="428"/>
      <c r="AA53" s="428"/>
      <c r="AC53" s="426"/>
      <c r="AD53" s="426"/>
      <c r="AE53" s="426"/>
      <c r="AF53" s="428"/>
      <c r="AG53" s="428"/>
      <c r="AH53" s="428"/>
      <c r="AJ53" s="426"/>
      <c r="AK53" s="426"/>
      <c r="AL53" s="426"/>
      <c r="AM53" s="426"/>
      <c r="AN53" s="426"/>
      <c r="AO53" s="426"/>
      <c r="AP53" s="426"/>
      <c r="AQ53" s="426"/>
      <c r="AR53" s="426"/>
      <c r="AS53" s="426"/>
      <c r="AT53" s="426"/>
      <c r="AU53" s="426"/>
      <c r="AV53" s="428"/>
      <c r="AW53" s="428"/>
      <c r="AX53" s="428"/>
      <c r="AZ53" s="426"/>
      <c r="BA53" s="426"/>
      <c r="BB53" s="426"/>
      <c r="BC53" s="426"/>
      <c r="BD53" s="426"/>
      <c r="BE53" s="426"/>
      <c r="BF53" s="426"/>
      <c r="BG53" s="426"/>
      <c r="BH53" s="428"/>
      <c r="BI53" s="428"/>
      <c r="BJ53" s="428"/>
    </row>
    <row r="54" spans="1:62" s="427" customFormat="1" hidden="1" x14ac:dyDescent="0.35">
      <c r="A54" s="435"/>
      <c r="B54" s="435"/>
      <c r="C54" s="426"/>
      <c r="D54" s="428"/>
      <c r="E54" s="426"/>
      <c r="F54" s="426"/>
      <c r="H54" s="426"/>
      <c r="I54" s="426"/>
      <c r="J54" s="426"/>
      <c r="K54" s="426"/>
      <c r="L54" s="426"/>
      <c r="M54" s="426"/>
      <c r="N54" s="426"/>
      <c r="O54" s="426"/>
      <c r="P54" s="428"/>
      <c r="Q54" s="428"/>
      <c r="R54" s="428"/>
      <c r="S54" s="428"/>
      <c r="T54" s="429"/>
      <c r="U54" s="426"/>
      <c r="V54" s="426"/>
      <c r="W54" s="426"/>
      <c r="X54" s="426"/>
      <c r="Y54" s="428"/>
      <c r="Z54" s="428"/>
      <c r="AA54" s="428"/>
      <c r="AC54" s="426"/>
      <c r="AD54" s="426"/>
      <c r="AE54" s="426"/>
      <c r="AF54" s="428"/>
      <c r="AG54" s="428"/>
      <c r="AH54" s="428"/>
      <c r="AJ54" s="426"/>
      <c r="AK54" s="426"/>
      <c r="AL54" s="426"/>
      <c r="AM54" s="426"/>
      <c r="AN54" s="426"/>
      <c r="AO54" s="426"/>
      <c r="AP54" s="426"/>
      <c r="AQ54" s="426"/>
      <c r="AR54" s="426"/>
      <c r="AS54" s="426"/>
      <c r="AT54" s="426"/>
      <c r="AU54" s="426"/>
      <c r="AV54" s="428"/>
      <c r="AW54" s="428"/>
      <c r="AX54" s="428"/>
      <c r="AZ54" s="426"/>
      <c r="BA54" s="426"/>
      <c r="BB54" s="426"/>
      <c r="BC54" s="426"/>
      <c r="BD54" s="426"/>
      <c r="BE54" s="426"/>
      <c r="BF54" s="426"/>
      <c r="BG54" s="426"/>
      <c r="BH54" s="428"/>
      <c r="BI54" s="428"/>
      <c r="BJ54" s="428"/>
    </row>
    <row r="55" spans="1:62" s="427" customFormat="1" hidden="1" x14ac:dyDescent="0.35">
      <c r="B55" s="426"/>
      <c r="C55" s="426"/>
      <c r="D55" s="428"/>
      <c r="E55" s="426"/>
      <c r="F55" s="426"/>
      <c r="H55" s="426"/>
      <c r="I55" s="426"/>
      <c r="J55" s="426"/>
      <c r="K55" s="426"/>
      <c r="L55" s="426"/>
      <c r="M55" s="426"/>
      <c r="N55" s="426"/>
      <c r="O55" s="426"/>
      <c r="P55" s="428"/>
      <c r="Q55" s="428"/>
      <c r="R55" s="428"/>
      <c r="S55" s="428"/>
      <c r="T55" s="429"/>
      <c r="U55" s="426"/>
      <c r="V55" s="426"/>
      <c r="W55" s="426"/>
      <c r="X55" s="426"/>
      <c r="Y55" s="428"/>
      <c r="Z55" s="428"/>
      <c r="AA55" s="428"/>
      <c r="AC55" s="426"/>
      <c r="AD55" s="426"/>
      <c r="AE55" s="426"/>
      <c r="AF55" s="428"/>
      <c r="AG55" s="428"/>
      <c r="AH55" s="428"/>
      <c r="AJ55" s="426"/>
      <c r="AK55" s="426"/>
      <c r="AL55" s="426"/>
      <c r="AM55" s="426"/>
      <c r="AN55" s="426"/>
      <c r="AO55" s="426"/>
      <c r="AP55" s="426"/>
      <c r="AQ55" s="426"/>
      <c r="AR55" s="426"/>
      <c r="AS55" s="426"/>
      <c r="AT55" s="426"/>
      <c r="AU55" s="426"/>
      <c r="AV55" s="428"/>
      <c r="AW55" s="428"/>
      <c r="AX55" s="428"/>
      <c r="AZ55" s="426"/>
      <c r="BA55" s="426"/>
      <c r="BB55" s="426"/>
      <c r="BC55" s="426"/>
      <c r="BD55" s="426"/>
      <c r="BE55" s="426"/>
      <c r="BF55" s="426"/>
      <c r="BG55" s="426"/>
      <c r="BH55" s="428"/>
      <c r="BI55" s="428"/>
      <c r="BJ55" s="428"/>
    </row>
    <row r="56" spans="1:62" s="427" customFormat="1" hidden="1" x14ac:dyDescent="0.35">
      <c r="B56" s="426"/>
      <c r="C56" s="426"/>
      <c r="D56" s="428"/>
      <c r="E56" s="426"/>
      <c r="F56" s="426"/>
      <c r="H56" s="426"/>
      <c r="I56" s="426"/>
      <c r="J56" s="426"/>
      <c r="K56" s="426"/>
      <c r="L56" s="426"/>
      <c r="M56" s="426"/>
      <c r="N56" s="426"/>
      <c r="O56" s="426"/>
      <c r="P56" s="428"/>
      <c r="Q56" s="428"/>
      <c r="R56" s="428"/>
      <c r="S56" s="428"/>
      <c r="T56" s="429"/>
      <c r="U56" s="426"/>
      <c r="V56" s="426"/>
      <c r="W56" s="426"/>
      <c r="X56" s="426"/>
      <c r="Y56" s="428"/>
      <c r="Z56" s="428"/>
      <c r="AA56" s="428"/>
      <c r="AC56" s="426"/>
      <c r="AD56" s="426"/>
      <c r="AE56" s="426"/>
      <c r="AF56" s="428"/>
      <c r="AG56" s="428"/>
      <c r="AH56" s="428"/>
      <c r="AJ56" s="426"/>
      <c r="AK56" s="426"/>
      <c r="AL56" s="426"/>
      <c r="AM56" s="426"/>
      <c r="AN56" s="426"/>
      <c r="AO56" s="426"/>
      <c r="AP56" s="426"/>
      <c r="AQ56" s="426"/>
      <c r="AR56" s="426"/>
      <c r="AS56" s="426"/>
      <c r="AT56" s="426"/>
      <c r="AU56" s="426"/>
      <c r="AV56" s="428"/>
      <c r="AW56" s="428"/>
      <c r="AX56" s="428"/>
      <c r="AZ56" s="426"/>
      <c r="BA56" s="426"/>
      <c r="BB56" s="426"/>
      <c r="BC56" s="426"/>
      <c r="BD56" s="426"/>
      <c r="BE56" s="426"/>
      <c r="BF56" s="426"/>
      <c r="BG56" s="426"/>
      <c r="BH56" s="428"/>
      <c r="BI56" s="428"/>
      <c r="BJ56" s="428"/>
    </row>
    <row r="57" spans="1:62" s="427" customFormat="1" hidden="1" x14ac:dyDescent="0.35">
      <c r="B57" s="426"/>
      <c r="C57" s="426"/>
      <c r="D57" s="428"/>
      <c r="E57" s="426"/>
      <c r="F57" s="426"/>
      <c r="H57" s="426"/>
      <c r="I57" s="426"/>
      <c r="J57" s="426"/>
      <c r="K57" s="426"/>
      <c r="L57" s="426"/>
      <c r="M57" s="426"/>
      <c r="N57" s="426"/>
      <c r="O57" s="426"/>
      <c r="P57" s="428"/>
      <c r="Q57" s="428"/>
      <c r="R57" s="428"/>
      <c r="S57" s="428"/>
      <c r="T57" s="429"/>
      <c r="U57" s="426"/>
      <c r="V57" s="426"/>
      <c r="W57" s="426"/>
      <c r="X57" s="426"/>
      <c r="Y57" s="428"/>
      <c r="Z57" s="428"/>
      <c r="AA57" s="428"/>
      <c r="AC57" s="426"/>
      <c r="AD57" s="426"/>
      <c r="AE57" s="426"/>
      <c r="AF57" s="428"/>
      <c r="AG57" s="428"/>
      <c r="AH57" s="428"/>
      <c r="AJ57" s="426"/>
      <c r="AK57" s="426"/>
      <c r="AL57" s="426"/>
      <c r="AM57" s="426"/>
      <c r="AN57" s="426"/>
      <c r="AO57" s="426"/>
      <c r="AP57" s="426"/>
      <c r="AQ57" s="426"/>
      <c r="AR57" s="426"/>
      <c r="AS57" s="426"/>
      <c r="AT57" s="426"/>
      <c r="AU57" s="426"/>
      <c r="AV57" s="428"/>
      <c r="AW57" s="428"/>
      <c r="AX57" s="428"/>
      <c r="AZ57" s="426"/>
      <c r="BA57" s="426"/>
      <c r="BB57" s="426"/>
      <c r="BC57" s="426"/>
      <c r="BD57" s="426"/>
      <c r="BE57" s="426"/>
      <c r="BF57" s="426"/>
      <c r="BG57" s="426"/>
      <c r="BH57" s="428"/>
      <c r="BI57" s="428"/>
      <c r="BJ57" s="428"/>
    </row>
    <row r="58" spans="1:62" s="427" customFormat="1" hidden="1" x14ac:dyDescent="0.35">
      <c r="B58" s="426"/>
      <c r="C58" s="426"/>
      <c r="D58" s="428"/>
      <c r="E58" s="426"/>
      <c r="F58" s="426"/>
      <c r="H58" s="426"/>
      <c r="I58" s="426"/>
      <c r="J58" s="426"/>
      <c r="K58" s="426"/>
      <c r="L58" s="426"/>
      <c r="M58" s="426"/>
      <c r="N58" s="426"/>
      <c r="O58" s="426"/>
      <c r="P58" s="428"/>
      <c r="Q58" s="428"/>
      <c r="R58" s="428"/>
      <c r="S58" s="428"/>
      <c r="T58" s="429"/>
      <c r="U58" s="426"/>
      <c r="V58" s="426"/>
      <c r="W58" s="426"/>
      <c r="X58" s="426"/>
      <c r="Y58" s="428"/>
      <c r="Z58" s="428"/>
      <c r="AA58" s="428"/>
      <c r="AC58" s="426"/>
      <c r="AD58" s="426"/>
      <c r="AE58" s="426"/>
      <c r="AF58" s="428"/>
      <c r="AG58" s="428"/>
      <c r="AH58" s="428"/>
      <c r="AJ58" s="426"/>
      <c r="AK58" s="426"/>
      <c r="AL58" s="426"/>
      <c r="AM58" s="426"/>
      <c r="AN58" s="426"/>
      <c r="AO58" s="426"/>
      <c r="AP58" s="426"/>
      <c r="AQ58" s="426"/>
      <c r="AR58" s="426"/>
      <c r="AS58" s="426"/>
      <c r="AT58" s="426"/>
      <c r="AU58" s="426"/>
      <c r="AV58" s="428"/>
      <c r="AW58" s="428"/>
      <c r="AX58" s="428"/>
      <c r="AZ58" s="426"/>
      <c r="BA58" s="426"/>
      <c r="BB58" s="426"/>
      <c r="BC58" s="426"/>
      <c r="BD58" s="426"/>
      <c r="BE58" s="426"/>
      <c r="BF58" s="426"/>
      <c r="BG58" s="426"/>
      <c r="BH58" s="428"/>
      <c r="BI58" s="428"/>
      <c r="BJ58" s="428"/>
    </row>
    <row r="59" spans="1:62" s="427" customFormat="1" hidden="1" x14ac:dyDescent="0.35">
      <c r="B59" s="426"/>
      <c r="C59" s="426"/>
      <c r="D59" s="428"/>
      <c r="E59" s="426"/>
      <c r="F59" s="426"/>
      <c r="H59" s="426"/>
      <c r="I59" s="426"/>
      <c r="J59" s="426"/>
      <c r="K59" s="426"/>
      <c r="L59" s="426"/>
      <c r="M59" s="426"/>
      <c r="N59" s="426"/>
      <c r="O59" s="426"/>
      <c r="P59" s="428"/>
      <c r="Q59" s="428"/>
      <c r="R59" s="428"/>
      <c r="S59" s="428"/>
      <c r="T59" s="429"/>
      <c r="U59" s="426"/>
      <c r="V59" s="426"/>
      <c r="W59" s="426"/>
      <c r="X59" s="426"/>
      <c r="Y59" s="428"/>
      <c r="Z59" s="428"/>
      <c r="AA59" s="428"/>
      <c r="AC59" s="426"/>
      <c r="AD59" s="426"/>
      <c r="AE59" s="426"/>
      <c r="AF59" s="428"/>
      <c r="AG59" s="428"/>
      <c r="AH59" s="428"/>
      <c r="AJ59" s="426"/>
      <c r="AK59" s="426"/>
      <c r="AL59" s="428">
        <v>3.1</v>
      </c>
      <c r="AM59" s="428">
        <v>3.2</v>
      </c>
      <c r="AN59" s="426"/>
      <c r="AO59" s="426"/>
      <c r="AP59" s="426"/>
      <c r="AQ59" s="426"/>
      <c r="AR59" s="426"/>
      <c r="AS59" s="426"/>
      <c r="AT59" s="426"/>
      <c r="AU59" s="426"/>
      <c r="AX59" s="428"/>
      <c r="AY59" s="428"/>
      <c r="AZ59" s="428"/>
      <c r="BA59" s="428"/>
      <c r="BB59" s="428"/>
      <c r="BC59" s="428"/>
      <c r="BD59" s="428"/>
      <c r="BE59" s="428"/>
      <c r="BF59" s="428"/>
      <c r="BG59" s="428"/>
      <c r="BH59" s="428"/>
      <c r="BI59" s="428"/>
      <c r="BJ59" s="428"/>
    </row>
    <row r="60" spans="1:62" s="435" customFormat="1" hidden="1" x14ac:dyDescent="0.35">
      <c r="A60" s="435">
        <v>10</v>
      </c>
      <c r="B60" s="435" t="b">
        <f>AND(10&lt;B5,B5&lt;10)</f>
        <v>0</v>
      </c>
      <c r="C60" s="435" t="b">
        <f>IF(C5=1000,TRUE, FALSE)</f>
        <v>0</v>
      </c>
      <c r="D60" s="435">
        <f>IF(B60,10,0)</f>
        <v>0</v>
      </c>
      <c r="E60" s="435">
        <f>IF(C60,10,0)</f>
        <v>0</v>
      </c>
      <c r="F60" s="512"/>
      <c r="H60" s="512"/>
      <c r="I60" s="512"/>
      <c r="J60" s="512"/>
      <c r="K60" s="435" t="b">
        <f>IF(K5=1000,TRUE, FALSE)</f>
        <v>0</v>
      </c>
      <c r="L60" s="435" t="b">
        <f>IF(L5=1000,TRUE, FALSE)</f>
        <v>0</v>
      </c>
      <c r="M60" s="435" t="b">
        <f>IF(M5=1000,TRUE, FALSE)</f>
        <v>0</v>
      </c>
      <c r="N60" s="435" t="b">
        <f>IF(N5=1000,TRUE, FALSE)</f>
        <v>0</v>
      </c>
      <c r="O60" s="435" t="b">
        <f>IF(O5=100%,TRUE, FALSE)</f>
        <v>0</v>
      </c>
      <c r="P60" s="435">
        <f>IF(K60,10,0)</f>
        <v>0</v>
      </c>
      <c r="Q60" s="435">
        <f>IF(L60,10,0)</f>
        <v>0</v>
      </c>
      <c r="R60" s="435">
        <f>IF(M60,10,0)</f>
        <v>0</v>
      </c>
      <c r="S60" s="435">
        <f>IF(N60,10,0)</f>
        <v>0</v>
      </c>
      <c r="T60" s="435">
        <f>IF(O60,10,0)</f>
        <v>0</v>
      </c>
      <c r="U60" s="435" t="b">
        <f>IF(U5=100%,TRUE, FALSE)</f>
        <v>0</v>
      </c>
      <c r="V60" s="435" t="b">
        <f>IF(V5=100%,TRUE, FALSE)</f>
        <v>0</v>
      </c>
      <c r="W60" s="435" t="b">
        <f>IF(W5=100%,TRUE, FALSE)</f>
        <v>0</v>
      </c>
      <c r="X60" s="435" t="b">
        <f>IF(X5=100%,TRUE, FALSE)</f>
        <v>0</v>
      </c>
      <c r="Y60" s="435">
        <f>IF(U60,10,0)</f>
        <v>0</v>
      </c>
      <c r="Z60" s="435">
        <f>IF(V60,10,0)</f>
        <v>0</v>
      </c>
      <c r="AA60" s="435">
        <f>IF(W60,10,0)</f>
        <v>0</v>
      </c>
      <c r="AC60" s="512"/>
      <c r="AD60" s="435" t="b">
        <f>IF(AC5=100%,TRUE, FALSE)</f>
        <v>0</v>
      </c>
      <c r="AE60" s="435" t="b">
        <f>IF(AD5=100%,TRUE, FALSE)</f>
        <v>0</v>
      </c>
      <c r="AF60" s="435">
        <f>IF(AD60,10,0)</f>
        <v>0</v>
      </c>
      <c r="AG60" s="435">
        <f>IF(AE60,10,0)</f>
        <v>0</v>
      </c>
      <c r="AH60" s="435" t="e">
        <f>IF(#REF!,10,0)</f>
        <v>#REF!</v>
      </c>
      <c r="AI60" s="435" t="e">
        <f>IF(#REF!,10,0)</f>
        <v>#REF!</v>
      </c>
      <c r="AJ60" s="435" t="b">
        <f>IF(AJ5=100%,TRUE, FALSE)</f>
        <v>0</v>
      </c>
      <c r="AK60" s="435" t="b">
        <f>IF(AK5=100%,TRUE, FALSE)</f>
        <v>0</v>
      </c>
      <c r="AL60" s="435">
        <f>IF(AJ60,10,0)</f>
        <v>0</v>
      </c>
      <c r="AM60" s="435">
        <f>IF(AL5=100%,10,0)</f>
        <v>0</v>
      </c>
      <c r="AQ60" s="435" t="b">
        <f>IF(AQ5=100%,TRUE, FALSE)</f>
        <v>0</v>
      </c>
      <c r="AR60" s="435" t="b">
        <f>IF(AR5=100%,TRUE, FALSE)</f>
        <v>0</v>
      </c>
      <c r="AS60" s="435">
        <f>IF(AQ60,10,0)</f>
        <v>0</v>
      </c>
      <c r="AT60" s="435">
        <f>IF(AR60,10,0)</f>
        <v>0</v>
      </c>
    </row>
    <row r="61" spans="1:62" s="435" customFormat="1" hidden="1" x14ac:dyDescent="0.35">
      <c r="A61" s="435">
        <v>9</v>
      </c>
      <c r="B61" s="435" t="b">
        <f>AND(8.99&lt;B5,B5&lt;1000)</f>
        <v>0</v>
      </c>
      <c r="C61" s="435" t="b">
        <f>AND(899&lt;C5,C5&lt;1000)</f>
        <v>0</v>
      </c>
      <c r="D61" s="435">
        <f>IF(B61,9,0)</f>
        <v>0</v>
      </c>
      <c r="E61" s="435">
        <f>IF(C61,9,0)</f>
        <v>0</v>
      </c>
      <c r="K61" s="435" t="b">
        <f>AND(899&lt;K5,K5&lt;1000)</f>
        <v>0</v>
      </c>
      <c r="L61" s="435" t="b">
        <f>AND(899&lt;L5,L5&lt;1000)</f>
        <v>0</v>
      </c>
      <c r="M61" s="435" t="b">
        <f>AND(899&lt;M5,M5&lt;1000)</f>
        <v>0</v>
      </c>
      <c r="N61" s="435" t="b">
        <f>AND(899&lt;N5,N5&lt;1000)</f>
        <v>0</v>
      </c>
      <c r="O61" s="435" t="b">
        <f>AND(90%&lt;O5,O5&lt;100%)</f>
        <v>0</v>
      </c>
      <c r="P61" s="435">
        <f>IF(K61,9,0)</f>
        <v>0</v>
      </c>
      <c r="Q61" s="435">
        <f>IF(L61,9,0)</f>
        <v>0</v>
      </c>
      <c r="R61" s="435">
        <f>IF(M61,9,0)</f>
        <v>0</v>
      </c>
      <c r="S61" s="435">
        <f>IF(N61,9,0)</f>
        <v>0</v>
      </c>
      <c r="T61" s="435">
        <f>IF(O61,9,0)</f>
        <v>0</v>
      </c>
      <c r="U61" s="435" t="b">
        <f>AND(94.99%&lt;U5,U5&lt;100%)</f>
        <v>0</v>
      </c>
      <c r="V61" s="435" t="b">
        <f>AND(94.99%&lt;V5,V5&lt;100%)</f>
        <v>0</v>
      </c>
      <c r="W61" s="435" t="b">
        <f>AND(94.99%&lt;W5,W5&lt;100%)</f>
        <v>0</v>
      </c>
      <c r="X61" s="435" t="b">
        <f>AND(94.99%&lt;X5,X5&lt;100%)</f>
        <v>0</v>
      </c>
      <c r="Y61" s="435">
        <f>IF(U61,9,0)</f>
        <v>0</v>
      </c>
      <c r="Z61" s="435">
        <f>IF(V61,9,0)</f>
        <v>0</v>
      </c>
      <c r="AA61" s="435">
        <f>IF(W61,9,0)</f>
        <v>0</v>
      </c>
      <c r="AD61" s="435" t="b">
        <f>AND(89.9%&lt;AC5,AC5&lt;100%)</f>
        <v>0</v>
      </c>
      <c r="AE61" s="435" t="b">
        <f>AND(89.9%&lt;AD5,AD5&lt;100%)</f>
        <v>0</v>
      </c>
      <c r="AF61" s="435">
        <f>IF(AD61,9,0)</f>
        <v>0</v>
      </c>
      <c r="AG61" s="435">
        <f>IF(AE61,9,0)</f>
        <v>0</v>
      </c>
      <c r="AH61" s="435" t="e">
        <f>IF(#REF!,9,0)</f>
        <v>#REF!</v>
      </c>
      <c r="AI61" s="435" t="e">
        <f>IF(#REF!,9,0)</f>
        <v>#REF!</v>
      </c>
      <c r="AJ61" s="435" t="b">
        <f>AND(94.99%&lt;AJ5,AJ5&lt;100%)</f>
        <v>0</v>
      </c>
      <c r="AK61" s="435" t="b">
        <f>AND(94.99%&lt;AK5,AK5&lt;100%)</f>
        <v>0</v>
      </c>
      <c r="AL61" s="435">
        <f>IF(AJ61,9,0)</f>
        <v>0</v>
      </c>
      <c r="AM61" s="435">
        <f>IF(AK61,9,0)</f>
        <v>0</v>
      </c>
      <c r="AQ61" s="435" t="b">
        <f>AND(89.9%&lt;AQ5,AQ5&lt;100%)</f>
        <v>0</v>
      </c>
      <c r="AR61" s="435" t="b">
        <f>AND(89.9%&lt;AR5,AR5&lt;100%)</f>
        <v>0</v>
      </c>
      <c r="AS61" s="435">
        <f>IF(AQ61,9,0)</f>
        <v>0</v>
      </c>
      <c r="AT61" s="435">
        <f>IF(AR61,9,0)</f>
        <v>0</v>
      </c>
    </row>
    <row r="62" spans="1:62" s="435" customFormat="1" hidden="1" x14ac:dyDescent="0.35">
      <c r="A62" s="435">
        <v>8</v>
      </c>
      <c r="B62" s="435" t="b">
        <f>AND(7.99&lt;B5,B5&lt;9)</f>
        <v>0</v>
      </c>
      <c r="C62" s="435" t="b">
        <f>AND(799&lt;C5,C5&lt;900)</f>
        <v>0</v>
      </c>
      <c r="D62" s="435">
        <f>IF(B62,8,0)</f>
        <v>0</v>
      </c>
      <c r="E62" s="435">
        <f>IF(C62,8,0)</f>
        <v>0</v>
      </c>
      <c r="J62" s="512"/>
      <c r="K62" s="435" t="b">
        <f>AND(799&lt;K5,K5&lt;900)</f>
        <v>0</v>
      </c>
      <c r="L62" s="435" t="b">
        <f>AND(799&lt;L5,L5&lt;900)</f>
        <v>0</v>
      </c>
      <c r="M62" s="435" t="b">
        <f>AND(799&lt;M5,M5&lt;900)</f>
        <v>0</v>
      </c>
      <c r="N62" s="435" t="b">
        <f>AND(799&lt;N5,N5&lt;900)</f>
        <v>0</v>
      </c>
      <c r="O62" s="435" t="b">
        <f>AND(80%&lt;O5,O5&lt;89.9%)</f>
        <v>0</v>
      </c>
      <c r="P62" s="435">
        <f>IF(K62,8,0)</f>
        <v>0</v>
      </c>
      <c r="Q62" s="435">
        <f>IF(L62,8,0)</f>
        <v>0</v>
      </c>
      <c r="R62" s="435">
        <f>IF(M62,8,0)</f>
        <v>0</v>
      </c>
      <c r="S62" s="435">
        <f>IF(N62,8,0)</f>
        <v>0</v>
      </c>
      <c r="T62" s="435">
        <f>IF(O62,8,0)</f>
        <v>0</v>
      </c>
      <c r="U62" s="435" t="b">
        <f>AND(89.99%&lt;U5,U5&lt;95%)</f>
        <v>0</v>
      </c>
      <c r="V62" s="435" t="b">
        <f>AND(89.99%&lt;V5,V5&lt;95%)</f>
        <v>0</v>
      </c>
      <c r="W62" s="435" t="b">
        <f>AND(89.99%&lt;W5,W5&lt;95%)</f>
        <v>0</v>
      </c>
      <c r="X62" s="435" t="b">
        <f>AND(89.99%&lt;X5,X5&lt;95%)</f>
        <v>0</v>
      </c>
      <c r="Y62" s="435">
        <f>IF(U62,8,0)</f>
        <v>0</v>
      </c>
      <c r="Z62" s="435">
        <f>IF(V62,8,0)</f>
        <v>0</v>
      </c>
      <c r="AA62" s="435">
        <f>IF(W62,8,0)</f>
        <v>0</v>
      </c>
      <c r="AC62" s="512"/>
      <c r="AD62" s="435" t="b">
        <f>AND(79.9%&lt;AC5,AC5&lt;89.9%)</f>
        <v>0</v>
      </c>
      <c r="AE62" s="435" t="b">
        <f>AND(79.9%&lt;AD5,AD5&lt;89.9%)</f>
        <v>0</v>
      </c>
      <c r="AF62" s="435">
        <f>IF(AD62,8,0)</f>
        <v>0</v>
      </c>
      <c r="AG62" s="435">
        <f>IF(AE62,8,0)</f>
        <v>0</v>
      </c>
      <c r="AH62" s="435" t="e">
        <f>IF(#REF!,8,0)</f>
        <v>#REF!</v>
      </c>
      <c r="AI62" s="435" t="e">
        <f>IF(#REF!,8,0)</f>
        <v>#REF!</v>
      </c>
      <c r="AJ62" s="435" t="b">
        <f>AND(89.99%&lt;AJ5,AJ5&lt;95%)</f>
        <v>0</v>
      </c>
      <c r="AK62" s="435" t="b">
        <f>AND(89.99%&lt;AK5,AK5&lt;95%)</f>
        <v>0</v>
      </c>
      <c r="AL62" s="435">
        <f>IF(AJ62,8,0)</f>
        <v>0</v>
      </c>
      <c r="AM62" s="435">
        <f>IF(AK62,8,0)</f>
        <v>0</v>
      </c>
      <c r="AQ62" s="435" t="b">
        <f>AND(79.9%&lt;AQ5,AQ5&lt;89.9%)</f>
        <v>0</v>
      </c>
      <c r="AR62" s="435" t="b">
        <f>AND(79.9%&lt;AR5,AR5&lt;89.9%)</f>
        <v>0</v>
      </c>
      <c r="AS62" s="435">
        <f>IF(AQ62,8,0)</f>
        <v>0</v>
      </c>
      <c r="AT62" s="435">
        <f>IF(AR62,8,0)</f>
        <v>0</v>
      </c>
    </row>
    <row r="63" spans="1:62" s="435" customFormat="1" hidden="1" x14ac:dyDescent="0.35">
      <c r="A63" s="435">
        <v>7</v>
      </c>
      <c r="B63" s="435" t="b">
        <f>AND(6.99&lt;B5,B5&lt;8)</f>
        <v>0</v>
      </c>
      <c r="C63" s="435" t="b">
        <f>AND(699&lt;C5,C5&lt;800)</f>
        <v>0</v>
      </c>
      <c r="D63" s="435">
        <f>IF(B63,7,0)</f>
        <v>0</v>
      </c>
      <c r="E63" s="435">
        <f>IF(C63,7,0)</f>
        <v>0</v>
      </c>
      <c r="K63" s="435" t="b">
        <f>AND(699&lt;K5,K5&lt;800)</f>
        <v>0</v>
      </c>
      <c r="L63" s="435" t="b">
        <f>AND(699&lt;L5,L5&lt;800)</f>
        <v>0</v>
      </c>
      <c r="M63" s="435" t="b">
        <f>AND(699&lt;M5,M5&lt;800)</f>
        <v>0</v>
      </c>
      <c r="N63" s="435" t="b">
        <f>AND(699&lt;N5,N5&lt;800)</f>
        <v>0</v>
      </c>
      <c r="O63" s="435" t="b">
        <f>AND(70%&lt;O5,O5&lt;79.9%)</f>
        <v>0</v>
      </c>
      <c r="P63" s="435">
        <f>IF(K63,7,0)</f>
        <v>0</v>
      </c>
      <c r="Q63" s="435">
        <f>IF(L63,7,0)</f>
        <v>0</v>
      </c>
      <c r="R63" s="435">
        <f>IF(M63,7,0)</f>
        <v>0</v>
      </c>
      <c r="S63" s="435">
        <f>IF(N63,7,0)</f>
        <v>0</v>
      </c>
      <c r="T63" s="435">
        <f>IF(O63,7,0)</f>
        <v>0</v>
      </c>
      <c r="U63" s="435" t="b">
        <f>AND(84.99%&lt;U5,U5&lt;90%)</f>
        <v>0</v>
      </c>
      <c r="V63" s="435" t="b">
        <f>AND(84.99%&lt;V5,V5&lt;90%)</f>
        <v>0</v>
      </c>
      <c r="W63" s="435" t="b">
        <f>AND(84.99%&lt;W5,W5&lt;90%)</f>
        <v>0</v>
      </c>
      <c r="X63" s="435" t="b">
        <f>AND(84.99%&lt;X5,X5&lt;90%)</f>
        <v>0</v>
      </c>
      <c r="Y63" s="435">
        <f>IF(U63,7,0)</f>
        <v>0</v>
      </c>
      <c r="Z63" s="435">
        <f>IF(V63,7,0)</f>
        <v>0</v>
      </c>
      <c r="AA63" s="435">
        <f>IF(W63,7,0)</f>
        <v>0</v>
      </c>
      <c r="AD63" s="435" t="b">
        <f>AND(69.9%&lt;AC5,AC5&lt;79.9%)</f>
        <v>0</v>
      </c>
      <c r="AE63" s="435" t="b">
        <f>AND(69.9%&lt;AD5,AD5&lt;79.9%)</f>
        <v>0</v>
      </c>
      <c r="AF63" s="435">
        <f>IF(AD63,7,0)</f>
        <v>0</v>
      </c>
      <c r="AG63" s="435">
        <f>IF(AE63,7,0)</f>
        <v>0</v>
      </c>
      <c r="AH63" s="435" t="e">
        <f>IF(#REF!,7,0)</f>
        <v>#REF!</v>
      </c>
      <c r="AI63" s="435" t="e">
        <f>IF(#REF!,7,0)</f>
        <v>#REF!</v>
      </c>
      <c r="AJ63" s="435" t="b">
        <f>AND(84.99%&lt;AJ5,AJ5&lt;90%)</f>
        <v>0</v>
      </c>
      <c r="AK63" s="435" t="b">
        <f>AND(84.99%&lt;AK5,AK5&lt;90%)</f>
        <v>0</v>
      </c>
      <c r="AL63" s="435">
        <f>IF(AJ63,7,0)</f>
        <v>0</v>
      </c>
      <c r="AM63" s="435">
        <f>IF(AK63,7,0)</f>
        <v>0</v>
      </c>
      <c r="AQ63" s="435" t="b">
        <f>AND(69.9%&lt;AQ5,AQ5&lt;79.9%)</f>
        <v>0</v>
      </c>
      <c r="AR63" s="435" t="b">
        <f>AND(69.9%&lt;AR5,AR5&lt;79.9%)</f>
        <v>0</v>
      </c>
      <c r="AS63" s="435">
        <f>IF(AQ63,7,0)</f>
        <v>0</v>
      </c>
      <c r="AT63" s="435">
        <f>IF(AR63,7,0)</f>
        <v>0</v>
      </c>
    </row>
    <row r="64" spans="1:62" s="435" customFormat="1" hidden="1" x14ac:dyDescent="0.35">
      <c r="A64" s="435">
        <v>6</v>
      </c>
      <c r="B64" s="435" t="b">
        <f>AND(5.99&lt;B5,B5&lt;7)</f>
        <v>0</v>
      </c>
      <c r="C64" s="435" t="b">
        <f>AND(599&lt;C5,C5&lt;700)</f>
        <v>0</v>
      </c>
      <c r="D64" s="435">
        <f>IF(B64,6,0)</f>
        <v>0</v>
      </c>
      <c r="E64" s="435">
        <f>IF(C64,6,0)</f>
        <v>0</v>
      </c>
      <c r="J64" s="512"/>
      <c r="K64" s="435" t="b">
        <f>AND(599&lt;K5,K5&lt;700)</f>
        <v>0</v>
      </c>
      <c r="L64" s="435" t="b">
        <f>AND(599&lt;L5,L5&lt;700)</f>
        <v>0</v>
      </c>
      <c r="M64" s="435" t="b">
        <f>AND(599&lt;M5,M5&lt;700)</f>
        <v>0</v>
      </c>
      <c r="N64" s="435" t="b">
        <f>AND(599&lt;N5,N5&lt;700)</f>
        <v>0</v>
      </c>
      <c r="O64" s="435" t="b">
        <f>AND(60%&lt;O5,O5&lt;69.9%)</f>
        <v>0</v>
      </c>
      <c r="P64" s="435">
        <f>IF(K64,6,0)</f>
        <v>0</v>
      </c>
      <c r="Q64" s="435">
        <f>IF(L64,6,0)</f>
        <v>0</v>
      </c>
      <c r="R64" s="435">
        <f>IF(M64,6,0)</f>
        <v>0</v>
      </c>
      <c r="S64" s="435">
        <f>IF(N64,6,0)</f>
        <v>0</v>
      </c>
      <c r="T64" s="435">
        <f>IF(O64,6,0)</f>
        <v>0</v>
      </c>
      <c r="U64" s="435" t="b">
        <f>AND(79.99%&lt;U5,U5&lt;85%)</f>
        <v>0</v>
      </c>
      <c r="V64" s="435" t="b">
        <f>AND(79.99%&lt;V5,V5&lt;85%)</f>
        <v>0</v>
      </c>
      <c r="W64" s="435" t="b">
        <f>AND(79.99%&lt;W5,W5&lt;85%)</f>
        <v>0</v>
      </c>
      <c r="X64" s="435" t="b">
        <f>AND(79.99%&lt;X5,X5&lt;85%)</f>
        <v>0</v>
      </c>
      <c r="Y64" s="435">
        <f>IF(U64,6,0)</f>
        <v>0</v>
      </c>
      <c r="Z64" s="435">
        <f>IF(V64,6,0)</f>
        <v>0</v>
      </c>
      <c r="AA64" s="435">
        <f>IF(W64,6,0)</f>
        <v>0</v>
      </c>
      <c r="AC64" s="512"/>
      <c r="AD64" s="435" t="b">
        <f>AND(59.9%&lt;AC5,AC5&lt;69.9%)</f>
        <v>0</v>
      </c>
      <c r="AE64" s="435" t="b">
        <f>AND(59.9%&lt;AD5,AD5&lt;69.9%)</f>
        <v>0</v>
      </c>
      <c r="AF64" s="435">
        <f>IF(AD64,6,0)</f>
        <v>0</v>
      </c>
      <c r="AG64" s="435">
        <f>IF(AE64,6,0)</f>
        <v>0</v>
      </c>
      <c r="AH64" s="435" t="e">
        <f>IF(#REF!,6,0)</f>
        <v>#REF!</v>
      </c>
      <c r="AI64" s="435" t="e">
        <f>IF(#REF!,6,0)</f>
        <v>#REF!</v>
      </c>
      <c r="AJ64" s="435" t="b">
        <f>AND(79.99%&lt;AJ5,AJ5&lt;85%)</f>
        <v>0</v>
      </c>
      <c r="AK64" s="435" t="b">
        <f>AND(79.99%&lt;AK5,AK5&lt;85%)</f>
        <v>0</v>
      </c>
      <c r="AL64" s="435">
        <f>IF(AJ64,6,0)</f>
        <v>0</v>
      </c>
      <c r="AM64" s="435">
        <f>IF(AK64,6,0)</f>
        <v>0</v>
      </c>
      <c r="AQ64" s="435" t="b">
        <f>AND(59.9%&lt;AQ5,AQ5&lt;69.9%)</f>
        <v>0</v>
      </c>
      <c r="AR64" s="435" t="b">
        <f>AND(59.9%&lt;AR5,AR5&lt;69.9%)</f>
        <v>0</v>
      </c>
      <c r="AS64" s="435">
        <f>IF(AQ64,6,0)</f>
        <v>0</v>
      </c>
      <c r="AT64" s="435">
        <f>IF(AR64,6,0)</f>
        <v>0</v>
      </c>
    </row>
    <row r="65" spans="1:46" s="435" customFormat="1" hidden="1" x14ac:dyDescent="0.35">
      <c r="A65" s="435">
        <v>5</v>
      </c>
      <c r="B65" s="435" t="b">
        <f>AND(4.99&lt;B5,B5&lt;6)</f>
        <v>0</v>
      </c>
      <c r="C65" s="435" t="b">
        <f>AND(499&lt;C5,C5&lt;600)</f>
        <v>0</v>
      </c>
      <c r="D65" s="435">
        <f>IF(B65,5,0)</f>
        <v>0</v>
      </c>
      <c r="E65" s="435">
        <f>IF(C65,5,0)</f>
        <v>0</v>
      </c>
      <c r="K65" s="435" t="b">
        <f>AND(499&lt;K5,K5&lt;600)</f>
        <v>0</v>
      </c>
      <c r="L65" s="435" t="b">
        <f>AND(499&lt;L5,L5&lt;600)</f>
        <v>0</v>
      </c>
      <c r="M65" s="435" t="b">
        <f>AND(499&lt;M5,M5&lt;600)</f>
        <v>0</v>
      </c>
      <c r="N65" s="435" t="b">
        <f>AND(499&lt;N5,N5&lt;600)</f>
        <v>0</v>
      </c>
      <c r="O65" s="435" t="b">
        <f>AND(50%&lt;O5,O5&lt;59.9%)</f>
        <v>0</v>
      </c>
      <c r="P65" s="435">
        <f>IF(K65,5,0)</f>
        <v>0</v>
      </c>
      <c r="Q65" s="435">
        <f>IF(L65,5,0)</f>
        <v>0</v>
      </c>
      <c r="R65" s="435">
        <f>IF(M65,5,0)</f>
        <v>0</v>
      </c>
      <c r="S65" s="435">
        <f>IF(N65,5,0)</f>
        <v>0</v>
      </c>
      <c r="T65" s="435">
        <f>IF(O65,5,0)</f>
        <v>0</v>
      </c>
      <c r="U65" s="435" t="b">
        <f>AND(74.99%&lt;U5,U5&lt;80%)</f>
        <v>0</v>
      </c>
      <c r="V65" s="435" t="b">
        <f>AND(74.99%&lt;V5,V5&lt;80%)</f>
        <v>0</v>
      </c>
      <c r="W65" s="435" t="b">
        <f>AND(74.99%&lt;W5,W5&lt;80%)</f>
        <v>0</v>
      </c>
      <c r="X65" s="435" t="b">
        <f>AND(74.99%&lt;X5,X5&lt;80%)</f>
        <v>0</v>
      </c>
      <c r="Y65" s="435">
        <f>IF(U65,5,0)</f>
        <v>0</v>
      </c>
      <c r="Z65" s="435">
        <f>IF(V65,5,0)</f>
        <v>0</v>
      </c>
      <c r="AA65" s="435">
        <f>IF(W65,5,0)</f>
        <v>0</v>
      </c>
      <c r="AD65" s="435" t="b">
        <f>AND(49.9%&lt;AC5,AC5&lt;59.9%)</f>
        <v>0</v>
      </c>
      <c r="AE65" s="435" t="b">
        <f>AND(49.9%&lt;AD5,AD5&lt;59.9%)</f>
        <v>0</v>
      </c>
      <c r="AF65" s="435">
        <f>IF(AD65,5,0)</f>
        <v>0</v>
      </c>
      <c r="AG65" s="435">
        <f>IF(AE65,5,0)</f>
        <v>0</v>
      </c>
      <c r="AH65" s="435" t="e">
        <f>IF(#REF!,5,0)</f>
        <v>#REF!</v>
      </c>
      <c r="AI65" s="435" t="e">
        <f>IF(#REF!,5,0)</f>
        <v>#REF!</v>
      </c>
      <c r="AJ65" s="435" t="b">
        <f>AND(74.99%&lt;AJ5,AJ5&lt;80%)</f>
        <v>0</v>
      </c>
      <c r="AK65" s="435" t="b">
        <f>AND(74.99%&lt;AK5,AK5&lt;80%)</f>
        <v>0</v>
      </c>
      <c r="AL65" s="435">
        <f>IF(AJ65,5,0)</f>
        <v>0</v>
      </c>
      <c r="AM65" s="435">
        <f>IF(AK65,5,0)</f>
        <v>0</v>
      </c>
      <c r="AQ65" s="435" t="b">
        <f>AND(49.9%&lt;AQ5,AQ5&lt;59.9%)</f>
        <v>0</v>
      </c>
      <c r="AR65" s="435" t="b">
        <f>AND(49.9%&lt;AR5,AR5&lt;59.9%)</f>
        <v>0</v>
      </c>
      <c r="AS65" s="435">
        <f>IF(AQ65,5,0)</f>
        <v>0</v>
      </c>
      <c r="AT65" s="435">
        <f>IF(AR65,5,0)</f>
        <v>0</v>
      </c>
    </row>
    <row r="66" spans="1:46" s="435" customFormat="1" hidden="1" x14ac:dyDescent="0.35">
      <c r="A66" s="435">
        <v>4</v>
      </c>
      <c r="B66" s="435" t="b">
        <f>AND(3.99&lt;B5,B5&lt;5)</f>
        <v>0</v>
      </c>
      <c r="C66" s="435" t="b">
        <f>AND(399&lt;C5,C5&lt;500)</f>
        <v>0</v>
      </c>
      <c r="D66" s="435">
        <f>IF(B66,4,0)</f>
        <v>0</v>
      </c>
      <c r="E66" s="435">
        <f>IF(C66,4,0)</f>
        <v>0</v>
      </c>
      <c r="J66" s="512"/>
      <c r="K66" s="435" t="b">
        <f>AND(399&lt;K5,K5&lt;500)</f>
        <v>0</v>
      </c>
      <c r="L66" s="435" t="b">
        <f>AND(399&lt;L5,L5&lt;500)</f>
        <v>0</v>
      </c>
      <c r="M66" s="435" t="b">
        <f>AND(399&lt;M5,M5&lt;500)</f>
        <v>0</v>
      </c>
      <c r="N66" s="435" t="b">
        <f>AND(399&lt;N5,N5&lt;500)</f>
        <v>0</v>
      </c>
      <c r="O66" s="435" t="b">
        <f>AND(40%&lt;O5,O5&lt;49.9%)</f>
        <v>0</v>
      </c>
      <c r="P66" s="435">
        <f>IF(K66,4,0)</f>
        <v>0</v>
      </c>
      <c r="Q66" s="435">
        <f>IF(L66,4,0)</f>
        <v>0</v>
      </c>
      <c r="R66" s="435">
        <f>IF(M66,4,0)</f>
        <v>0</v>
      </c>
      <c r="S66" s="435">
        <f>IF(N66,4,0)</f>
        <v>0</v>
      </c>
      <c r="T66" s="435">
        <f>IF(O66,4,0)</f>
        <v>0</v>
      </c>
      <c r="U66" s="435" t="b">
        <f>AND(69.99%&lt;U5,U5&lt;75%)</f>
        <v>0</v>
      </c>
      <c r="V66" s="435" t="b">
        <f>AND(69.99%&lt;V5,V5&lt;75%)</f>
        <v>0</v>
      </c>
      <c r="W66" s="435" t="b">
        <f>AND(69.99%&lt;W5,W5&lt;75%)</f>
        <v>0</v>
      </c>
      <c r="X66" s="435" t="b">
        <f>AND(69.99%&lt;X5,X5&lt;75%)</f>
        <v>0</v>
      </c>
      <c r="Y66" s="435">
        <f>IF(U66,4,0)</f>
        <v>0</v>
      </c>
      <c r="Z66" s="435">
        <f>IF(V66,4,0)</f>
        <v>0</v>
      </c>
      <c r="AA66" s="435">
        <f>IF(W66,4,0)</f>
        <v>0</v>
      </c>
      <c r="AC66" s="512"/>
      <c r="AD66" s="435" t="b">
        <f>AND(39.9%&lt;AC5,AC5&lt;49.9%)</f>
        <v>0</v>
      </c>
      <c r="AE66" s="435" t="b">
        <f>AND(39.9%&lt;AD5,AD5&lt;49.9%)</f>
        <v>0</v>
      </c>
      <c r="AF66" s="435">
        <f>IF(AD66,4,0)</f>
        <v>0</v>
      </c>
      <c r="AG66" s="435">
        <f>IF(AE66,4,0)</f>
        <v>0</v>
      </c>
      <c r="AH66" s="435" t="e">
        <f>IF(#REF!,4,0)</f>
        <v>#REF!</v>
      </c>
      <c r="AI66" s="435" t="e">
        <f>IF(#REF!,4,0)</f>
        <v>#REF!</v>
      </c>
      <c r="AJ66" s="435" t="b">
        <f>AND(69.99%&lt;AJ5,AJ5&lt;75%)</f>
        <v>0</v>
      </c>
      <c r="AK66" s="435" t="b">
        <f>AND(69.99%&lt;AK5,AK5&lt;75%)</f>
        <v>0</v>
      </c>
      <c r="AL66" s="435">
        <f>IF(AJ66,4,0)</f>
        <v>0</v>
      </c>
      <c r="AM66" s="435">
        <f>IF(AK66,4,0)</f>
        <v>0</v>
      </c>
      <c r="AQ66" s="435" t="b">
        <f>AND(39.9%&lt;AQ5,AQ5&lt;49.9%)</f>
        <v>0</v>
      </c>
      <c r="AR66" s="435" t="b">
        <f>AND(39.9%&lt;AR5,AR5&lt;49.9%)</f>
        <v>0</v>
      </c>
      <c r="AS66" s="435">
        <f>IF(AQ66,4,0)</f>
        <v>0</v>
      </c>
      <c r="AT66" s="435">
        <f>IF(AR66,4,0)</f>
        <v>0</v>
      </c>
    </row>
    <row r="67" spans="1:46" s="435" customFormat="1" hidden="1" x14ac:dyDescent="0.35">
      <c r="A67" s="435">
        <v>3</v>
      </c>
      <c r="B67" s="435" t="b">
        <f>AND(2.99&lt;B5,B5&lt;4)</f>
        <v>0</v>
      </c>
      <c r="C67" s="435" t="b">
        <f>AND(299&lt;C5,C5&lt;400)</f>
        <v>0</v>
      </c>
      <c r="D67" s="435">
        <f>IF(B67,3,0)</f>
        <v>0</v>
      </c>
      <c r="E67" s="435">
        <f>IF(C67,3,0)</f>
        <v>0</v>
      </c>
      <c r="K67" s="435" t="b">
        <f>AND(299&lt;K5,K5&lt;400)</f>
        <v>0</v>
      </c>
      <c r="L67" s="435" t="b">
        <f>AND(299&lt;L5,L5&lt;400)</f>
        <v>0</v>
      </c>
      <c r="M67" s="435" t="b">
        <f>AND(299&lt;M5,M5&lt;400)</f>
        <v>0</v>
      </c>
      <c r="N67" s="435" t="b">
        <f>AND(299&lt;N5,N5&lt;400)</f>
        <v>0</v>
      </c>
      <c r="O67" s="435" t="b">
        <f>AND(30%&lt;O5,O5&lt;39.9%)</f>
        <v>0</v>
      </c>
      <c r="P67" s="435">
        <f>IF(K67,3,0)</f>
        <v>0</v>
      </c>
      <c r="Q67" s="435">
        <f>IF(L67,3,0)</f>
        <v>0</v>
      </c>
      <c r="R67" s="435">
        <f>IF(M67,3,0)</f>
        <v>0</v>
      </c>
      <c r="S67" s="435">
        <f>IF(N67,3,0)</f>
        <v>0</v>
      </c>
      <c r="T67" s="435">
        <f>IF(O67,3,0)</f>
        <v>0</v>
      </c>
      <c r="U67" s="435" t="b">
        <f>AND(64.99%&lt;U5,U5&lt;70%)</f>
        <v>0</v>
      </c>
      <c r="V67" s="435" t="b">
        <f>AND(64.99%&lt;V5,V5&lt;70%)</f>
        <v>0</v>
      </c>
      <c r="W67" s="435" t="b">
        <f>AND(64.99%&lt;W5,W5&lt;70%)</f>
        <v>0</v>
      </c>
      <c r="X67" s="435" t="b">
        <f>AND(64.99%&lt;X5,X5&lt;70%)</f>
        <v>0</v>
      </c>
      <c r="Y67" s="435">
        <f>IF(U67,3,0)</f>
        <v>0</v>
      </c>
      <c r="Z67" s="435">
        <f>IF(V67,3,0)</f>
        <v>0</v>
      </c>
      <c r="AA67" s="435">
        <f>IF(W67,3,0)</f>
        <v>0</v>
      </c>
      <c r="AD67" s="435" t="b">
        <f>AND(29.9%&lt;AC5,AC5&lt;39.9%)</f>
        <v>0</v>
      </c>
      <c r="AE67" s="435" t="b">
        <f>AND(29.9%&lt;AD5,AD5&lt;39.9%)</f>
        <v>0</v>
      </c>
      <c r="AF67" s="435">
        <f>IF(AD67,3,0)</f>
        <v>0</v>
      </c>
      <c r="AG67" s="435">
        <f>IF(AE67,3,0)</f>
        <v>0</v>
      </c>
      <c r="AH67" s="435" t="e">
        <f>IF(#REF!,3,0)</f>
        <v>#REF!</v>
      </c>
      <c r="AI67" s="435" t="e">
        <f>IF(#REF!,3,0)</f>
        <v>#REF!</v>
      </c>
      <c r="AJ67" s="435" t="b">
        <f>AND(64.99%&lt;AJ5,AJ5&lt;70%)</f>
        <v>0</v>
      </c>
      <c r="AK67" s="435" t="b">
        <f>AND(64.99%&lt;AK5,AK5&lt;70%)</f>
        <v>0</v>
      </c>
      <c r="AL67" s="435">
        <f>IF(AJ67,3,0)</f>
        <v>0</v>
      </c>
      <c r="AM67" s="435">
        <f>IF(AK67,3,0)</f>
        <v>0</v>
      </c>
      <c r="AQ67" s="435" t="b">
        <f>AND(29.9%&lt;AQ5,AQ5&lt;39.9%)</f>
        <v>0</v>
      </c>
      <c r="AR67" s="435" t="b">
        <f>AND(29.9%&lt;AR5,AR5&lt;39.9%)</f>
        <v>0</v>
      </c>
      <c r="AS67" s="435">
        <f>IF(AQ67,3,0)</f>
        <v>0</v>
      </c>
      <c r="AT67" s="435">
        <f>IF(AR67,3,0)</f>
        <v>0</v>
      </c>
    </row>
    <row r="68" spans="1:46" s="435" customFormat="1" hidden="1" x14ac:dyDescent="0.35">
      <c r="A68" s="435">
        <v>2</v>
      </c>
      <c r="B68" s="435" t="b">
        <f>AND(1.99&lt;B5,B5&lt;3)</f>
        <v>0</v>
      </c>
      <c r="C68" s="435" t="b">
        <f>AND(199&lt;C5,C5&lt;300)</f>
        <v>0</v>
      </c>
      <c r="D68" s="435">
        <f>IF(B68,2,0)</f>
        <v>0</v>
      </c>
      <c r="E68" s="435">
        <f>IF(C68,2,0)</f>
        <v>0</v>
      </c>
      <c r="J68" s="512"/>
      <c r="K68" s="435" t="b">
        <f>AND(199&lt;K5,K5&lt;300)</f>
        <v>0</v>
      </c>
      <c r="L68" s="435" t="b">
        <f>AND(199&lt;L5,L5&lt;300)</f>
        <v>0</v>
      </c>
      <c r="M68" s="435" t="b">
        <f>AND(199&lt;M5,M5&lt;300)</f>
        <v>0</v>
      </c>
      <c r="N68" s="435" t="b">
        <f>AND(199&lt;N5,N5&lt;300)</f>
        <v>0</v>
      </c>
      <c r="O68" s="435" t="b">
        <f>AND(20%&lt;O5,O5&lt;29.9%)</f>
        <v>0</v>
      </c>
      <c r="P68" s="435">
        <f>IF(K68,2,0)</f>
        <v>0</v>
      </c>
      <c r="Q68" s="435">
        <f>IF(L68,2,0)</f>
        <v>0</v>
      </c>
      <c r="R68" s="435">
        <f>IF(M68,2,0)</f>
        <v>0</v>
      </c>
      <c r="S68" s="435">
        <f>IF(N68,2,0)</f>
        <v>0</v>
      </c>
      <c r="T68" s="435">
        <f>IF(O68,2,0)</f>
        <v>0</v>
      </c>
      <c r="U68" s="435" t="b">
        <f>AND(59.99%&lt;U5,U5&lt;65%)</f>
        <v>0</v>
      </c>
      <c r="V68" s="435" t="b">
        <f>AND(59.99%&lt;V5,V5&lt;65%)</f>
        <v>0</v>
      </c>
      <c r="W68" s="435" t="b">
        <f>AND(59.99%&lt;W5,W5&lt;65%)</f>
        <v>0</v>
      </c>
      <c r="X68" s="435" t="b">
        <f>AND(59.99%&lt;X5,X5&lt;65%)</f>
        <v>0</v>
      </c>
      <c r="Y68" s="435">
        <f>IF(U68,2,0)</f>
        <v>0</v>
      </c>
      <c r="Z68" s="435">
        <f>IF(V68,2,0)</f>
        <v>0</v>
      </c>
      <c r="AA68" s="435">
        <f>IF(W68,2,0)</f>
        <v>0</v>
      </c>
      <c r="AC68" s="512"/>
      <c r="AD68" s="435" t="b">
        <f>AND(19.9%&lt;AC5,AC5&lt;29.9%)</f>
        <v>0</v>
      </c>
      <c r="AE68" s="435" t="b">
        <f>AND(19.9%&lt;AD5,AD5&lt;29.9%)</f>
        <v>0</v>
      </c>
      <c r="AF68" s="435">
        <f>IF(AD68,2,0)</f>
        <v>0</v>
      </c>
      <c r="AG68" s="435">
        <f>IF(AE68,2,0)</f>
        <v>0</v>
      </c>
      <c r="AH68" s="435" t="e">
        <f>IF(#REF!,2,0)</f>
        <v>#REF!</v>
      </c>
      <c r="AI68" s="435" t="e">
        <f>IF(#REF!,2,0)</f>
        <v>#REF!</v>
      </c>
      <c r="AJ68" s="435" t="b">
        <f>AND(59.99%&lt;AJ5,AJ5&lt;65%)</f>
        <v>0</v>
      </c>
      <c r="AK68" s="435" t="b">
        <f>AND(59.99%&lt;AK5,AK5&lt;65%)</f>
        <v>0</v>
      </c>
      <c r="AL68" s="435">
        <f>IF(AJ68,2,0)</f>
        <v>0</v>
      </c>
      <c r="AM68" s="435">
        <f>IF(AK68,2,0)</f>
        <v>0</v>
      </c>
      <c r="AQ68" s="435" t="b">
        <f>AND(19.9%&lt;AQ5,AQ5&lt;29.9%)</f>
        <v>0</v>
      </c>
      <c r="AR68" s="435" t="b">
        <f>AND(19.9%&lt;AR5,AR5&lt;29.9%)</f>
        <v>0</v>
      </c>
      <c r="AS68" s="435">
        <f>IF(AQ68,2,0)</f>
        <v>0</v>
      </c>
      <c r="AT68" s="435">
        <f>IF(AR68,2,0)</f>
        <v>0</v>
      </c>
    </row>
    <row r="69" spans="1:46" s="435" customFormat="1" hidden="1" x14ac:dyDescent="0.35">
      <c r="A69" s="435">
        <v>1</v>
      </c>
      <c r="B69" s="435" t="b">
        <f>AND(0.99&lt;B5,B5&lt;2)</f>
        <v>0</v>
      </c>
      <c r="C69" s="435" t="b">
        <f>AND(99&lt;C5,C5&lt;200)</f>
        <v>0</v>
      </c>
      <c r="D69" s="435">
        <f>IF(B69,1,0)</f>
        <v>0</v>
      </c>
      <c r="E69" s="435">
        <f>IF(C69,1,0)</f>
        <v>0</v>
      </c>
      <c r="K69" s="435" t="b">
        <f>AND(99&lt;K5,K5&lt;200)</f>
        <v>0</v>
      </c>
      <c r="L69" s="435" t="b">
        <f>AND(99&lt;L5,L5&lt;200)</f>
        <v>0</v>
      </c>
      <c r="M69" s="435" t="b">
        <f>AND(99&lt;M5,M5&lt;200)</f>
        <v>0</v>
      </c>
      <c r="N69" s="435" t="b">
        <f>AND(99&lt;N5,N5&lt;200)</f>
        <v>0</v>
      </c>
      <c r="O69" s="435" t="b">
        <f>AND(10%&lt;O5,O5&lt;19.9%)</f>
        <v>0</v>
      </c>
      <c r="P69" s="435">
        <f>IF(K69,1,0)</f>
        <v>0</v>
      </c>
      <c r="Q69" s="435">
        <f>IF(L69,1,0)</f>
        <v>0</v>
      </c>
      <c r="R69" s="435">
        <f>IF(M69,1,0)</f>
        <v>0</v>
      </c>
      <c r="S69" s="435">
        <f>IF(N69,1,0)</f>
        <v>0</v>
      </c>
      <c r="T69" s="435">
        <f>IF(O69,1,0)</f>
        <v>0</v>
      </c>
      <c r="U69" s="435" t="b">
        <f>AND(54.99%&lt;U5,U5&lt;60%)</f>
        <v>0</v>
      </c>
      <c r="V69" s="435" t="b">
        <f>AND(54.99%&lt;V5,V5&lt;60%)</f>
        <v>0</v>
      </c>
      <c r="W69" s="435" t="b">
        <f>AND(54.99%&lt;W5,W5&lt;60%)</f>
        <v>0</v>
      </c>
      <c r="X69" s="435" t="b">
        <f>AND(54.99%&lt;X5,X5&lt;60%)</f>
        <v>0</v>
      </c>
      <c r="Y69" s="435">
        <f>IF(U69,1,0)</f>
        <v>0</v>
      </c>
      <c r="Z69" s="435">
        <f>IF(V69,1,0)</f>
        <v>0</v>
      </c>
      <c r="AA69" s="435">
        <f>IF(W69,1,0)</f>
        <v>0</v>
      </c>
      <c r="AD69" s="435" t="b">
        <f>AND(9.9%&lt;AC5,AC5&lt;19.9%)</f>
        <v>0</v>
      </c>
      <c r="AE69" s="435" t="b">
        <f>AND(9.9%&lt;AD5,AD5&lt;19.9%)</f>
        <v>0</v>
      </c>
      <c r="AF69" s="435">
        <f>IF(AD69,1,0)</f>
        <v>0</v>
      </c>
      <c r="AG69" s="435">
        <f>IF(AE69,1,0)</f>
        <v>0</v>
      </c>
      <c r="AH69" s="435" t="e">
        <f>IF(#REF!,1,0)</f>
        <v>#REF!</v>
      </c>
      <c r="AI69" s="435" t="e">
        <f>IF(#REF!,1,0)</f>
        <v>#REF!</v>
      </c>
      <c r="AJ69" s="435" t="b">
        <f>AND(54.99%&lt;AJ5,AJ5&lt;60%)</f>
        <v>0</v>
      </c>
      <c r="AK69" s="435" t="b">
        <f>AND(54.99%&lt;AK5,AK5&lt;60%)</f>
        <v>0</v>
      </c>
      <c r="AL69" s="435">
        <f>IF(AJ69,1,0)</f>
        <v>0</v>
      </c>
      <c r="AM69" s="435">
        <f>IF(AK69,1,0)</f>
        <v>0</v>
      </c>
      <c r="AQ69" s="435" t="b">
        <f>AND(9.9%&lt;AQ5,AQ5&lt;19.9%)</f>
        <v>0</v>
      </c>
      <c r="AR69" s="435" t="b">
        <f>AND(9.9%&lt;AR5,AR5&lt;19.9%)</f>
        <v>0</v>
      </c>
      <c r="AS69" s="435">
        <f>IF(AQ69,1,0)</f>
        <v>0</v>
      </c>
      <c r="AT69" s="435">
        <f>IF(AR69,1,0)</f>
        <v>0</v>
      </c>
    </row>
    <row r="70" spans="1:46" s="435" customFormat="1" hidden="1" x14ac:dyDescent="0.35">
      <c r="A70" s="435">
        <v>0</v>
      </c>
      <c r="B70" s="435" t="b">
        <f>AND(0&lt;B5,B5&lt;1)</f>
        <v>0</v>
      </c>
      <c r="C70" s="435" t="b">
        <f>AND(99&lt;C5,C5&lt;200)</f>
        <v>0</v>
      </c>
      <c r="D70" s="435">
        <f>IF(B70,10,0)</f>
        <v>0</v>
      </c>
      <c r="E70" s="435">
        <f>IF(C70,0,0)</f>
        <v>0</v>
      </c>
      <c r="J70" s="512"/>
      <c r="K70" s="435" t="b">
        <f>AND(99&lt;K5,K5&lt;200)</f>
        <v>0</v>
      </c>
      <c r="L70" s="435" t="b">
        <f>AND(99&lt;L5,L5&lt;200)</f>
        <v>0</v>
      </c>
      <c r="M70" s="435" t="b">
        <f>AND(99&lt;M5,M5&lt;200)</f>
        <v>0</v>
      </c>
      <c r="N70" s="435" t="b">
        <f>AND(99&lt;N5,N5&lt;200)</f>
        <v>0</v>
      </c>
      <c r="O70" s="435" t="b">
        <f>AND(0%&lt;O5,O5&lt;9.9%)</f>
        <v>0</v>
      </c>
      <c r="P70" s="435">
        <f>IF(K70,0,0)</f>
        <v>0</v>
      </c>
      <c r="Q70" s="435">
        <f>IF(L70,0,0)</f>
        <v>0</v>
      </c>
      <c r="R70" s="435">
        <f>IF(M70,0,0)</f>
        <v>0</v>
      </c>
      <c r="S70" s="435">
        <f>IF(N70,0,0)</f>
        <v>0</v>
      </c>
      <c r="T70" s="435">
        <f>IF(O70,0,0)</f>
        <v>0</v>
      </c>
      <c r="U70" s="435" t="b">
        <f>AND(0%&lt;U5,U5&lt;55%)</f>
        <v>0</v>
      </c>
      <c r="V70" s="435" t="b">
        <f>AND(0%&lt;V5,V5&lt;55%)</f>
        <v>0</v>
      </c>
      <c r="W70" s="435" t="b">
        <f>AND(0%&lt;W5,W5&lt;55%)</f>
        <v>0</v>
      </c>
      <c r="X70" s="435" t="b">
        <f>AND(0%&lt;X5,X5&lt;55%)</f>
        <v>0</v>
      </c>
      <c r="Y70" s="435">
        <f>IF(U70,0,0)</f>
        <v>0</v>
      </c>
      <c r="Z70" s="435">
        <f>IF(V70,0,0)</f>
        <v>0</v>
      </c>
      <c r="AA70" s="435">
        <f>IF(W70,0,0)</f>
        <v>0</v>
      </c>
      <c r="AC70" s="512"/>
      <c r="AD70" s="435" t="b">
        <f>AND(0%&lt;AC5,AC5&lt;9.9%)</f>
        <v>0</v>
      </c>
      <c r="AE70" s="435" t="b">
        <f>AND(0%&lt;AD5,AD5&lt;9.9%)</f>
        <v>0</v>
      </c>
      <c r="AF70" s="435">
        <f>IF(AE70,0,0)</f>
        <v>0</v>
      </c>
      <c r="AG70" s="435">
        <f>IF(AE70,0,0)</f>
        <v>0</v>
      </c>
      <c r="AH70" s="435" t="e">
        <f>IF(#REF!,0,0)</f>
        <v>#REF!</v>
      </c>
      <c r="AI70" s="435" t="e">
        <f>IF(#REF!,0,0)</f>
        <v>#REF!</v>
      </c>
      <c r="AJ70" s="435" t="b">
        <f>AND(0%&lt;AJ5,AJ5&lt;55%)</f>
        <v>0</v>
      </c>
      <c r="AK70" s="435" t="b">
        <f>AND(0%&lt;AK5,AK5&lt;55%)</f>
        <v>0</v>
      </c>
      <c r="AL70" s="435">
        <f>IF(AJ70,0,0)</f>
        <v>0</v>
      </c>
      <c r="AM70" s="435">
        <f>IF(AK70,0,0)</f>
        <v>0</v>
      </c>
      <c r="AQ70" s="435" t="b">
        <f>AND(0%&lt;AQ5,AQ5&lt;9.9%)</f>
        <v>0</v>
      </c>
      <c r="AR70" s="435" t="b">
        <f>AND(0%&lt;AR5,AR5&lt;9.9%)</f>
        <v>0</v>
      </c>
      <c r="AS70" s="435">
        <f>IF(AQ70,0,0)</f>
        <v>0</v>
      </c>
      <c r="AT70" s="435">
        <f>IF(AR70,0,0)</f>
        <v>0</v>
      </c>
    </row>
    <row r="71" spans="1:46" s="435" customFormat="1" hidden="1" x14ac:dyDescent="0.35">
      <c r="D71" s="435">
        <f>SUM(D60:D70)</f>
        <v>0</v>
      </c>
      <c r="E71" s="435">
        <f>SUM(E60:E70)</f>
        <v>0</v>
      </c>
      <c r="P71" s="435">
        <f>SUM(P60:P70)</f>
        <v>0</v>
      </c>
      <c r="Q71" s="435">
        <f>SUM(Q60:Q70)</f>
        <v>0</v>
      </c>
      <c r="R71" s="435">
        <f>SUM(R60:R70)</f>
        <v>0</v>
      </c>
      <c r="S71" s="435">
        <f>SUM(S60:S70)</f>
        <v>0</v>
      </c>
      <c r="T71" s="435">
        <f>SUM(T60:T70)</f>
        <v>0</v>
      </c>
      <c r="Y71" s="435">
        <f>SUM(Y60:Y70)</f>
        <v>0</v>
      </c>
      <c r="Z71" s="435">
        <f>SUM(Z60:Z70)</f>
        <v>0</v>
      </c>
      <c r="AA71" s="435">
        <f>SUM(AA60:AA70)</f>
        <v>0</v>
      </c>
      <c r="AF71" s="435">
        <f>SUM(AF60:AF70)</f>
        <v>0</v>
      </c>
      <c r="AG71" s="435">
        <f>SUM(AG60:AG70)</f>
        <v>0</v>
      </c>
      <c r="AH71" s="435" t="e">
        <f>SUM(AH60:AH70)</f>
        <v>#REF!</v>
      </c>
      <c r="AI71" s="435" t="e">
        <f>SUM(AI60:AI70)</f>
        <v>#REF!</v>
      </c>
      <c r="AL71" s="435">
        <f>SUM(AL60:AL70)</f>
        <v>0</v>
      </c>
      <c r="AM71" s="435">
        <f>SUM(AM60:AM70)</f>
        <v>0</v>
      </c>
      <c r="AS71" s="435">
        <f>SUM(AS60:AS70)</f>
        <v>0</v>
      </c>
      <c r="AT71" s="435">
        <f>SUM(AT60:AT70)</f>
        <v>0</v>
      </c>
    </row>
    <row r="72" spans="1:46" s="435" customFormat="1" hidden="1" x14ac:dyDescent="0.35">
      <c r="D72" s="513"/>
      <c r="AC72" s="512"/>
    </row>
    <row r="73" spans="1:46" hidden="1" x14ac:dyDescent="0.35"/>
  </sheetData>
  <mergeCells count="2">
    <mergeCell ref="A23:D23"/>
    <mergeCell ref="A24:D24"/>
  </mergeCells>
  <phoneticPr fontId="16" type="noConversion"/>
  <conditionalFormatting sqref="E24">
    <cfRule type="cellIs" dxfId="3" priority="1" operator="equal">
      <formula>"""Best"""</formula>
    </cfRule>
    <cfRule type="cellIs" dxfId="2" priority="2" operator="equal">
      <formula>"Better"</formula>
    </cfRule>
    <cfRule type="cellIs" dxfId="1" priority="3" operator="equal">
      <formula>"Good"</formula>
    </cfRule>
    <cfRule type="cellIs" dxfId="0" priority="4" operator="equal">
      <formula>"Poor"</formula>
    </cfRule>
  </conditionalFormatting>
  <pageMargins left="0.7" right="0.7" top="0.75" bottom="0.75" header="0.3" footer="0.3"/>
  <pageSetup scale="71" orientation="landscape" verticalDpi="200" r:id="rId1"/>
  <headerFooter>
    <oddHeader>&amp;LScoring Matrix</oddHeader>
    <oddFooter>&amp;C&amp;A&amp;RPage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V95"/>
  <sheetViews>
    <sheetView zoomScaleNormal="100" workbookViewId="0"/>
  </sheetViews>
  <sheetFormatPr defaultRowHeight="14.5" x14ac:dyDescent="0.35"/>
  <cols>
    <col min="1" max="1" width="12.1796875" bestFit="1" customWidth="1"/>
    <col min="2" max="2" width="28" customWidth="1"/>
    <col min="3" max="3" width="9.26953125" customWidth="1"/>
    <col min="4" max="4" width="9.1796875" customWidth="1"/>
    <col min="5" max="5" width="11.54296875" customWidth="1"/>
    <col min="6" max="7" width="9.1796875" customWidth="1"/>
    <col min="8" max="8" width="18.1796875" customWidth="1"/>
    <col min="9" max="9" width="21.7265625" bestFit="1" customWidth="1"/>
    <col min="10" max="10" width="13" customWidth="1"/>
    <col min="11" max="13" width="9.1796875" customWidth="1"/>
    <col min="14" max="14" width="18.1796875" bestFit="1" customWidth="1"/>
    <col min="16" max="16" width="24" customWidth="1"/>
    <col min="17" max="17" width="12.7265625" style="18" customWidth="1"/>
    <col min="18" max="18" width="13.453125" customWidth="1"/>
  </cols>
  <sheetData>
    <row r="1" spans="1:22" ht="18.5" x14ac:dyDescent="0.45">
      <c r="B1" s="347" t="s">
        <v>386</v>
      </c>
      <c r="H1" s="348" t="s">
        <v>387</v>
      </c>
      <c r="I1" s="144"/>
      <c r="J1" s="144"/>
      <c r="Q1"/>
    </row>
    <row r="2" spans="1:22" ht="15" thickBot="1" x14ac:dyDescent="0.4"/>
    <row r="3" spans="1:22" x14ac:dyDescent="0.35">
      <c r="A3" s="349" t="s">
        <v>80</v>
      </c>
      <c r="B3" s="350" t="s">
        <v>386</v>
      </c>
      <c r="C3" s="350"/>
      <c r="D3" s="350"/>
      <c r="E3" s="350"/>
      <c r="F3" s="350"/>
      <c r="G3" s="350"/>
      <c r="H3" s="351"/>
      <c r="I3" s="352" t="s">
        <v>390</v>
      </c>
      <c r="J3" s="350"/>
      <c r="K3" s="641"/>
      <c r="L3" s="641"/>
      <c r="M3" s="641"/>
      <c r="N3" s="641"/>
      <c r="O3" s="351"/>
      <c r="P3" s="352" t="s">
        <v>81</v>
      </c>
      <c r="Q3" s="350"/>
      <c r="R3" s="350"/>
      <c r="S3" s="350"/>
      <c r="T3" s="350"/>
      <c r="U3" s="350"/>
      <c r="V3" s="356"/>
    </row>
    <row r="4" spans="1:22" ht="63.5" x14ac:dyDescent="0.35">
      <c r="A4" s="353" t="s">
        <v>391</v>
      </c>
      <c r="B4" s="141" t="s">
        <v>392</v>
      </c>
      <c r="C4" s="141" t="s">
        <v>414</v>
      </c>
      <c r="D4" s="141" t="s">
        <v>82</v>
      </c>
      <c r="E4" s="141" t="s">
        <v>83</v>
      </c>
      <c r="F4" s="141" t="s">
        <v>84</v>
      </c>
      <c r="G4" s="354" t="s">
        <v>92</v>
      </c>
      <c r="I4" s="355" t="s">
        <v>393</v>
      </c>
      <c r="J4" s="141" t="s">
        <v>414</v>
      </c>
      <c r="K4" s="141" t="s">
        <v>82</v>
      </c>
      <c r="L4" s="141" t="s">
        <v>83</v>
      </c>
      <c r="M4" s="141" t="s">
        <v>84</v>
      </c>
      <c r="N4" s="354" t="s">
        <v>92</v>
      </c>
      <c r="P4" s="355" t="s">
        <v>394</v>
      </c>
      <c r="Q4" s="141" t="s">
        <v>414</v>
      </c>
      <c r="R4" s="141" t="s">
        <v>82</v>
      </c>
      <c r="S4" s="141" t="s">
        <v>83</v>
      </c>
      <c r="T4" s="141" t="s">
        <v>84</v>
      </c>
      <c r="U4" s="354" t="s">
        <v>92</v>
      </c>
    </row>
    <row r="5" spans="1:22" x14ac:dyDescent="0.35">
      <c r="A5" s="356"/>
      <c r="B5" s="139" t="s">
        <v>77</v>
      </c>
      <c r="C5" s="138">
        <v>40</v>
      </c>
      <c r="D5" s="138">
        <v>5</v>
      </c>
      <c r="E5" s="138">
        <v>3</v>
      </c>
      <c r="F5" s="138">
        <v>12</v>
      </c>
      <c r="G5" s="138" t="s">
        <v>452</v>
      </c>
      <c r="I5" s="139" t="s">
        <v>77</v>
      </c>
      <c r="J5" s="142">
        <v>5</v>
      </c>
      <c r="K5" s="142">
        <v>8</v>
      </c>
      <c r="L5" s="142">
        <v>1</v>
      </c>
      <c r="M5" s="142">
        <v>4</v>
      </c>
      <c r="N5" s="142">
        <v>12</v>
      </c>
      <c r="P5" s="139" t="s">
        <v>77</v>
      </c>
      <c r="Q5" s="143">
        <v>2</v>
      </c>
      <c r="R5" s="143">
        <v>8</v>
      </c>
      <c r="S5" s="143">
        <v>1</v>
      </c>
      <c r="T5" s="143">
        <v>8</v>
      </c>
      <c r="U5" s="143">
        <v>15</v>
      </c>
    </row>
    <row r="6" spans="1:22" x14ac:dyDescent="0.35">
      <c r="A6" s="356"/>
      <c r="B6" s="139" t="s">
        <v>389</v>
      </c>
      <c r="C6" s="138">
        <v>40</v>
      </c>
      <c r="D6" s="138">
        <v>5</v>
      </c>
      <c r="E6" s="138">
        <v>3</v>
      </c>
      <c r="F6" s="138">
        <v>12</v>
      </c>
      <c r="G6" s="138" t="s">
        <v>452</v>
      </c>
      <c r="I6" s="139" t="s">
        <v>389</v>
      </c>
      <c r="J6" s="142">
        <v>5</v>
      </c>
      <c r="K6" s="142">
        <v>6</v>
      </c>
      <c r="L6" s="142">
        <v>1</v>
      </c>
      <c r="M6" s="142">
        <v>4</v>
      </c>
      <c r="N6" s="142">
        <v>12</v>
      </c>
      <c r="P6" s="139" t="s">
        <v>389</v>
      </c>
      <c r="Q6" s="143">
        <v>2</v>
      </c>
      <c r="R6" s="143">
        <v>8</v>
      </c>
      <c r="S6" s="143">
        <v>1</v>
      </c>
      <c r="T6" s="143">
        <v>8</v>
      </c>
      <c r="U6" s="143">
        <v>15</v>
      </c>
    </row>
    <row r="7" spans="1:22" x14ac:dyDescent="0.35">
      <c r="A7" s="356"/>
      <c r="B7" s="139" t="s">
        <v>184</v>
      </c>
      <c r="C7" s="138">
        <v>30</v>
      </c>
      <c r="D7" s="138">
        <v>3</v>
      </c>
      <c r="E7" s="138">
        <v>2</v>
      </c>
      <c r="F7" s="138">
        <v>10</v>
      </c>
      <c r="G7" s="138" t="s">
        <v>452</v>
      </c>
      <c r="I7" s="139" t="s">
        <v>184</v>
      </c>
      <c r="J7" s="142">
        <v>2</v>
      </c>
      <c r="K7" s="142">
        <v>5</v>
      </c>
      <c r="L7" s="142">
        <v>1</v>
      </c>
      <c r="M7" s="142">
        <v>4</v>
      </c>
      <c r="N7" s="142">
        <v>6</v>
      </c>
      <c r="P7" s="139" t="s">
        <v>184</v>
      </c>
      <c r="Q7" s="143">
        <v>2</v>
      </c>
      <c r="R7" s="143">
        <v>6</v>
      </c>
      <c r="S7" s="143">
        <v>1</v>
      </c>
      <c r="T7" s="143">
        <v>4</v>
      </c>
      <c r="U7" s="143">
        <v>10</v>
      </c>
    </row>
    <row r="8" spans="1:22" x14ac:dyDescent="0.35">
      <c r="A8" s="356"/>
      <c r="B8" s="139" t="s">
        <v>183</v>
      </c>
      <c r="C8" s="138">
        <v>30</v>
      </c>
      <c r="D8" s="138">
        <v>3</v>
      </c>
      <c r="E8" s="138">
        <v>2</v>
      </c>
      <c r="F8" s="138">
        <v>10</v>
      </c>
      <c r="G8" s="138" t="s">
        <v>452</v>
      </c>
      <c r="I8" s="139" t="s">
        <v>183</v>
      </c>
      <c r="J8" s="142">
        <v>2</v>
      </c>
      <c r="K8" s="142">
        <v>4</v>
      </c>
      <c r="L8" s="142">
        <v>1</v>
      </c>
      <c r="M8" s="142">
        <v>4</v>
      </c>
      <c r="N8" s="142">
        <v>6</v>
      </c>
      <c r="P8" s="139" t="s">
        <v>183</v>
      </c>
      <c r="Q8" s="143">
        <v>2</v>
      </c>
      <c r="R8" s="143">
        <v>6</v>
      </c>
      <c r="S8" s="143">
        <v>1</v>
      </c>
      <c r="T8" s="143">
        <v>4</v>
      </c>
      <c r="U8" s="143">
        <v>10</v>
      </c>
    </row>
    <row r="9" spans="1:22" x14ac:dyDescent="0.35">
      <c r="A9" s="356"/>
      <c r="B9" s="139" t="s">
        <v>94</v>
      </c>
      <c r="C9" s="138">
        <v>20</v>
      </c>
      <c r="D9" s="138">
        <v>3</v>
      </c>
      <c r="E9" s="138">
        <v>1</v>
      </c>
      <c r="F9" s="138">
        <v>6</v>
      </c>
      <c r="G9" s="138" t="s">
        <v>452</v>
      </c>
      <c r="I9" s="139" t="s">
        <v>94</v>
      </c>
      <c r="J9" s="142">
        <v>2</v>
      </c>
      <c r="K9" s="142">
        <v>4</v>
      </c>
      <c r="L9" s="142">
        <v>1</v>
      </c>
      <c r="M9" s="142">
        <v>4</v>
      </c>
      <c r="N9" s="142">
        <v>4</v>
      </c>
      <c r="P9" s="139" t="s">
        <v>94</v>
      </c>
      <c r="Q9" s="143">
        <v>2</v>
      </c>
      <c r="R9" s="143">
        <v>4</v>
      </c>
      <c r="S9" s="143">
        <v>1</v>
      </c>
      <c r="T9" s="143">
        <v>4</v>
      </c>
      <c r="U9" s="143">
        <v>4</v>
      </c>
    </row>
    <row r="10" spans="1:22" x14ac:dyDescent="0.35">
      <c r="A10" s="356"/>
      <c r="B10" s="139" t="s">
        <v>385</v>
      </c>
      <c r="C10" s="138">
        <v>20</v>
      </c>
      <c r="D10" s="138">
        <v>3</v>
      </c>
      <c r="E10" s="138">
        <v>1</v>
      </c>
      <c r="F10" s="138">
        <v>6</v>
      </c>
      <c r="G10" s="138" t="s">
        <v>452</v>
      </c>
      <c r="I10" s="139" t="s">
        <v>385</v>
      </c>
      <c r="J10" s="142">
        <v>2</v>
      </c>
      <c r="K10" s="142">
        <v>6</v>
      </c>
      <c r="L10" s="142">
        <v>1</v>
      </c>
      <c r="M10" s="142">
        <v>4</v>
      </c>
      <c r="N10" s="142">
        <v>6</v>
      </c>
      <c r="P10" s="139" t="s">
        <v>385</v>
      </c>
      <c r="Q10" s="143">
        <v>2</v>
      </c>
      <c r="R10" s="143">
        <v>6</v>
      </c>
      <c r="S10" s="143">
        <v>1</v>
      </c>
      <c r="T10" s="143">
        <v>4</v>
      </c>
      <c r="U10" s="143">
        <v>10</v>
      </c>
    </row>
    <row r="11" spans="1:22" x14ac:dyDescent="0.35">
      <c r="A11" s="356"/>
      <c r="B11" s="139" t="s">
        <v>182</v>
      </c>
      <c r="C11" s="138">
        <v>20</v>
      </c>
      <c r="D11" s="138">
        <v>3</v>
      </c>
      <c r="E11" s="138">
        <v>1</v>
      </c>
      <c r="F11" s="138">
        <v>6</v>
      </c>
      <c r="G11" s="138" t="s">
        <v>452</v>
      </c>
      <c r="I11" s="139" t="s">
        <v>182</v>
      </c>
      <c r="J11" s="142">
        <v>2</v>
      </c>
      <c r="K11" s="142">
        <v>4</v>
      </c>
      <c r="L11" s="142">
        <v>1</v>
      </c>
      <c r="M11" s="142">
        <v>4</v>
      </c>
      <c r="N11" s="142">
        <v>3</v>
      </c>
      <c r="P11" s="139" t="s">
        <v>182</v>
      </c>
      <c r="Q11" s="143">
        <v>2</v>
      </c>
      <c r="R11" s="143">
        <v>2</v>
      </c>
      <c r="S11" s="143">
        <v>1</v>
      </c>
      <c r="T11" s="143">
        <v>1</v>
      </c>
      <c r="U11" s="143">
        <v>6</v>
      </c>
    </row>
    <row r="12" spans="1:22" x14ac:dyDescent="0.35">
      <c r="A12" s="356"/>
      <c r="B12" s="139" t="s">
        <v>373</v>
      </c>
      <c r="C12" s="138">
        <v>20</v>
      </c>
      <c r="D12" s="138">
        <v>3</v>
      </c>
      <c r="E12" s="138">
        <v>1</v>
      </c>
      <c r="F12" s="138">
        <v>6</v>
      </c>
      <c r="G12" s="138" t="s">
        <v>452</v>
      </c>
      <c r="I12" s="139" t="s">
        <v>373</v>
      </c>
      <c r="J12" s="142" t="s">
        <v>452</v>
      </c>
      <c r="K12" s="142" t="s">
        <v>452</v>
      </c>
      <c r="L12" s="142" t="s">
        <v>452</v>
      </c>
      <c r="M12" s="142" t="s">
        <v>452</v>
      </c>
      <c r="N12" s="142" t="s">
        <v>452</v>
      </c>
      <c r="P12" s="139" t="s">
        <v>373</v>
      </c>
      <c r="Q12" s="143" t="s">
        <v>452</v>
      </c>
      <c r="R12" s="143" t="s">
        <v>452</v>
      </c>
      <c r="S12" s="143" t="s">
        <v>452</v>
      </c>
      <c r="T12" s="143" t="s">
        <v>452</v>
      </c>
      <c r="U12" s="143" t="s">
        <v>452</v>
      </c>
    </row>
    <row r="13" spans="1:22" x14ac:dyDescent="0.35">
      <c r="A13" s="357"/>
      <c r="B13" s="139" t="s">
        <v>181</v>
      </c>
      <c r="C13" s="138">
        <v>20</v>
      </c>
      <c r="D13" s="138">
        <v>3</v>
      </c>
      <c r="E13" s="138">
        <v>1</v>
      </c>
      <c r="F13" s="138">
        <v>6</v>
      </c>
      <c r="G13" s="138" t="s">
        <v>452</v>
      </c>
      <c r="I13" s="139" t="s">
        <v>181</v>
      </c>
      <c r="J13" s="142">
        <v>2</v>
      </c>
      <c r="K13" s="142">
        <v>3</v>
      </c>
      <c r="L13" s="142">
        <v>1</v>
      </c>
      <c r="M13" s="142">
        <v>4</v>
      </c>
      <c r="N13" s="142">
        <v>3</v>
      </c>
      <c r="P13" s="139" t="s">
        <v>181</v>
      </c>
      <c r="Q13" s="143">
        <v>2</v>
      </c>
      <c r="R13" s="143">
        <v>2</v>
      </c>
      <c r="S13" s="143">
        <v>1</v>
      </c>
      <c r="T13" s="143">
        <v>1</v>
      </c>
      <c r="U13" s="143">
        <v>6</v>
      </c>
    </row>
    <row r="14" spans="1:22" x14ac:dyDescent="0.35">
      <c r="B14" s="139" t="s">
        <v>86</v>
      </c>
      <c r="C14" s="138">
        <v>20</v>
      </c>
      <c r="D14" s="138">
        <v>3</v>
      </c>
      <c r="E14" s="138">
        <v>1</v>
      </c>
      <c r="F14" s="138">
        <v>6</v>
      </c>
      <c r="G14" s="138" t="s">
        <v>452</v>
      </c>
      <c r="I14" s="139" t="s">
        <v>86</v>
      </c>
      <c r="J14" s="142">
        <v>2</v>
      </c>
      <c r="K14" s="142">
        <v>4</v>
      </c>
      <c r="L14" s="142">
        <v>1</v>
      </c>
      <c r="M14" s="142">
        <v>2</v>
      </c>
      <c r="N14" s="142">
        <v>2</v>
      </c>
      <c r="P14" s="139" t="s">
        <v>86</v>
      </c>
      <c r="Q14" s="143">
        <v>2</v>
      </c>
      <c r="R14" s="143">
        <v>1</v>
      </c>
      <c r="S14" s="143">
        <v>1</v>
      </c>
      <c r="T14" s="143">
        <v>2</v>
      </c>
      <c r="U14" s="143">
        <v>6</v>
      </c>
    </row>
    <row r="15" spans="1:22" x14ac:dyDescent="0.35">
      <c r="B15" s="139" t="s">
        <v>374</v>
      </c>
      <c r="C15" s="138">
        <v>10</v>
      </c>
      <c r="D15" s="138">
        <v>1</v>
      </c>
      <c r="E15" s="138">
        <v>1</v>
      </c>
      <c r="F15" s="138">
        <v>3</v>
      </c>
      <c r="G15" s="138" t="s">
        <v>452</v>
      </c>
      <c r="I15" s="139" t="s">
        <v>374</v>
      </c>
      <c r="J15" s="142">
        <v>2</v>
      </c>
      <c r="K15" s="142">
        <v>1</v>
      </c>
      <c r="L15" s="142">
        <v>4</v>
      </c>
      <c r="M15" s="142">
        <v>1</v>
      </c>
      <c r="N15" s="142">
        <v>2</v>
      </c>
      <c r="P15" s="139" t="s">
        <v>374</v>
      </c>
      <c r="Q15" s="143">
        <v>2</v>
      </c>
      <c r="R15" s="143">
        <v>1</v>
      </c>
      <c r="S15" s="143">
        <v>1</v>
      </c>
      <c r="T15" s="143">
        <v>2</v>
      </c>
      <c r="U15" s="143">
        <v>6</v>
      </c>
    </row>
    <row r="16" spans="1:22" x14ac:dyDescent="0.35">
      <c r="B16" s="139" t="s">
        <v>88</v>
      </c>
      <c r="C16" s="138">
        <v>4</v>
      </c>
      <c r="D16" s="138">
        <v>1</v>
      </c>
      <c r="E16" s="138">
        <v>1</v>
      </c>
      <c r="F16" s="138">
        <v>4</v>
      </c>
      <c r="G16" s="138" t="s">
        <v>452</v>
      </c>
      <c r="I16" s="139" t="s">
        <v>88</v>
      </c>
      <c r="J16" s="142">
        <v>2</v>
      </c>
      <c r="K16" s="142">
        <v>1</v>
      </c>
      <c r="L16" s="142">
        <v>2</v>
      </c>
      <c r="M16" s="142">
        <v>1</v>
      </c>
      <c r="N16" s="142">
        <v>2</v>
      </c>
      <c r="P16" s="139" t="s">
        <v>88</v>
      </c>
      <c r="Q16" s="143">
        <v>2</v>
      </c>
      <c r="R16" s="143">
        <v>1</v>
      </c>
      <c r="S16" s="143">
        <v>1</v>
      </c>
      <c r="T16" s="143">
        <v>2</v>
      </c>
      <c r="U16" s="143">
        <v>6</v>
      </c>
    </row>
    <row r="17" spans="1:21" x14ac:dyDescent="0.35">
      <c r="A17" s="358"/>
      <c r="B17" s="139" t="s">
        <v>423</v>
      </c>
      <c r="C17" s="138">
        <v>4</v>
      </c>
      <c r="D17" s="138">
        <v>1</v>
      </c>
      <c r="E17" s="138">
        <v>1</v>
      </c>
      <c r="F17" s="138">
        <v>4</v>
      </c>
      <c r="G17" s="138" t="s">
        <v>452</v>
      </c>
      <c r="I17" s="139" t="s">
        <v>423</v>
      </c>
      <c r="J17" s="142">
        <v>2</v>
      </c>
      <c r="K17" s="142">
        <v>1</v>
      </c>
      <c r="L17" s="142">
        <v>2</v>
      </c>
      <c r="M17" s="142">
        <v>1</v>
      </c>
      <c r="N17" s="142">
        <v>2</v>
      </c>
      <c r="P17" s="139" t="s">
        <v>423</v>
      </c>
      <c r="Q17" s="143">
        <v>2</v>
      </c>
      <c r="R17" s="143">
        <v>1</v>
      </c>
      <c r="S17" s="143">
        <v>1</v>
      </c>
      <c r="T17" s="143">
        <v>1</v>
      </c>
      <c r="U17" s="143">
        <v>2</v>
      </c>
    </row>
    <row r="18" spans="1:21" x14ac:dyDescent="0.35">
      <c r="Q18"/>
    </row>
    <row r="19" spans="1:21" x14ac:dyDescent="0.35">
      <c r="Q19"/>
    </row>
    <row r="20" spans="1:21" ht="63.5" x14ac:dyDescent="0.35">
      <c r="A20" s="353" t="s">
        <v>395</v>
      </c>
      <c r="B20" s="141" t="s">
        <v>396</v>
      </c>
      <c r="C20" s="141" t="s">
        <v>414</v>
      </c>
      <c r="D20" s="141" t="s">
        <v>82</v>
      </c>
      <c r="E20" s="141" t="s">
        <v>83</v>
      </c>
      <c r="F20" s="141" t="s">
        <v>84</v>
      </c>
      <c r="G20" s="354" t="s">
        <v>92</v>
      </c>
      <c r="I20" s="355" t="s">
        <v>397</v>
      </c>
      <c r="J20" s="141" t="s">
        <v>414</v>
      </c>
      <c r="K20" s="141" t="s">
        <v>82</v>
      </c>
      <c r="L20" s="141" t="s">
        <v>83</v>
      </c>
      <c r="M20" s="141" t="s">
        <v>84</v>
      </c>
      <c r="N20" s="354" t="s">
        <v>92</v>
      </c>
      <c r="P20" s="355" t="s">
        <v>398</v>
      </c>
      <c r="Q20" s="141" t="s">
        <v>414</v>
      </c>
      <c r="R20" s="141" t="s">
        <v>82</v>
      </c>
      <c r="S20" s="141" t="s">
        <v>83</v>
      </c>
      <c r="T20" s="141" t="s">
        <v>84</v>
      </c>
      <c r="U20" s="354" t="s">
        <v>92</v>
      </c>
    </row>
    <row r="21" spans="1:21" x14ac:dyDescent="0.35">
      <c r="A21" s="356"/>
      <c r="B21" s="139" t="s">
        <v>77</v>
      </c>
      <c r="C21" s="138">
        <v>30</v>
      </c>
      <c r="D21" s="138">
        <v>3</v>
      </c>
      <c r="E21" s="138">
        <v>2</v>
      </c>
      <c r="F21" s="138">
        <v>10</v>
      </c>
      <c r="G21" s="138" t="s">
        <v>452</v>
      </c>
      <c r="H21" s="359"/>
      <c r="I21" s="139" t="s">
        <v>77</v>
      </c>
      <c r="J21" s="142">
        <v>2</v>
      </c>
      <c r="K21" s="142">
        <v>6</v>
      </c>
      <c r="L21" s="142" t="s">
        <v>452</v>
      </c>
      <c r="M21" s="142">
        <v>3</v>
      </c>
      <c r="N21" s="142">
        <v>8</v>
      </c>
      <c r="P21" s="139" t="s">
        <v>77</v>
      </c>
      <c r="Q21" s="143">
        <v>1</v>
      </c>
      <c r="R21" s="143">
        <v>6</v>
      </c>
      <c r="S21" s="143" t="s">
        <v>452</v>
      </c>
      <c r="T21" s="143">
        <v>6</v>
      </c>
      <c r="U21" s="143">
        <v>12</v>
      </c>
    </row>
    <row r="22" spans="1:21" x14ac:dyDescent="0.35">
      <c r="A22" s="356"/>
      <c r="B22" s="139" t="s">
        <v>389</v>
      </c>
      <c r="C22" s="138">
        <v>30</v>
      </c>
      <c r="D22" s="138">
        <v>3</v>
      </c>
      <c r="E22" s="138">
        <v>2</v>
      </c>
      <c r="F22" s="138">
        <v>10</v>
      </c>
      <c r="G22" s="138" t="s">
        <v>452</v>
      </c>
      <c r="H22" s="359"/>
      <c r="I22" s="139" t="s">
        <v>389</v>
      </c>
      <c r="J22" s="142">
        <v>2</v>
      </c>
      <c r="K22" s="142">
        <v>6</v>
      </c>
      <c r="L22" s="142" t="s">
        <v>452</v>
      </c>
      <c r="M22" s="142">
        <v>2</v>
      </c>
      <c r="N22" s="142">
        <v>8</v>
      </c>
      <c r="P22" s="139" t="s">
        <v>389</v>
      </c>
      <c r="Q22" s="143">
        <v>1</v>
      </c>
      <c r="R22" s="143">
        <v>6</v>
      </c>
      <c r="S22" s="143" t="s">
        <v>452</v>
      </c>
      <c r="T22" s="143">
        <v>6</v>
      </c>
      <c r="U22" s="143">
        <v>12</v>
      </c>
    </row>
    <row r="23" spans="1:21" x14ac:dyDescent="0.35">
      <c r="A23" s="356"/>
      <c r="B23" s="139" t="s">
        <v>184</v>
      </c>
      <c r="C23" s="138">
        <v>20</v>
      </c>
      <c r="D23" s="138">
        <v>2</v>
      </c>
      <c r="E23" s="138">
        <v>1</v>
      </c>
      <c r="F23" s="138">
        <v>6</v>
      </c>
      <c r="G23" s="138" t="s">
        <v>452</v>
      </c>
      <c r="H23" s="359"/>
      <c r="I23" s="139" t="s">
        <v>184</v>
      </c>
      <c r="J23" s="142">
        <v>1</v>
      </c>
      <c r="K23" s="142">
        <v>4</v>
      </c>
      <c r="L23" s="142" t="s">
        <v>452</v>
      </c>
      <c r="M23" s="142">
        <v>2</v>
      </c>
      <c r="N23" s="142">
        <v>4</v>
      </c>
      <c r="P23" s="139" t="s">
        <v>184</v>
      </c>
      <c r="Q23" s="143">
        <v>1</v>
      </c>
      <c r="R23" s="143">
        <v>4</v>
      </c>
      <c r="S23" s="143" t="s">
        <v>452</v>
      </c>
      <c r="T23" s="143">
        <v>2</v>
      </c>
      <c r="U23" s="143">
        <v>8</v>
      </c>
    </row>
    <row r="24" spans="1:21" x14ac:dyDescent="0.35">
      <c r="A24" s="356"/>
      <c r="B24" s="139" t="s">
        <v>183</v>
      </c>
      <c r="C24" s="138">
        <v>20</v>
      </c>
      <c r="D24" s="138">
        <v>2</v>
      </c>
      <c r="E24" s="138">
        <v>1</v>
      </c>
      <c r="F24" s="138">
        <v>6</v>
      </c>
      <c r="G24" s="138" t="s">
        <v>452</v>
      </c>
      <c r="H24" s="359"/>
      <c r="I24" s="139" t="s">
        <v>183</v>
      </c>
      <c r="J24" s="142">
        <v>1</v>
      </c>
      <c r="K24" s="142">
        <v>3</v>
      </c>
      <c r="L24" s="142" t="s">
        <v>452</v>
      </c>
      <c r="M24" s="142">
        <v>2</v>
      </c>
      <c r="N24" s="142">
        <v>4</v>
      </c>
      <c r="P24" s="139" t="s">
        <v>183</v>
      </c>
      <c r="Q24" s="143">
        <v>1</v>
      </c>
      <c r="R24" s="143">
        <v>4</v>
      </c>
      <c r="S24" s="143" t="s">
        <v>452</v>
      </c>
      <c r="T24" s="143">
        <v>2</v>
      </c>
      <c r="U24" s="143">
        <v>8</v>
      </c>
    </row>
    <row r="25" spans="1:21" x14ac:dyDescent="0.35">
      <c r="A25" s="356"/>
      <c r="B25" s="139" t="s">
        <v>94</v>
      </c>
      <c r="C25" s="138">
        <v>16</v>
      </c>
      <c r="D25" s="138">
        <v>2</v>
      </c>
      <c r="E25" s="138" t="s">
        <v>452</v>
      </c>
      <c r="F25" s="138">
        <v>5</v>
      </c>
      <c r="G25" s="138" t="s">
        <v>452</v>
      </c>
      <c r="H25" s="359"/>
      <c r="I25" s="139" t="s">
        <v>94</v>
      </c>
      <c r="J25" s="142">
        <v>1</v>
      </c>
      <c r="K25" s="142">
        <v>3</v>
      </c>
      <c r="L25" s="142" t="s">
        <v>452</v>
      </c>
      <c r="M25" s="142">
        <v>2</v>
      </c>
      <c r="N25" s="142">
        <v>2</v>
      </c>
      <c r="P25" s="139" t="s">
        <v>94</v>
      </c>
      <c r="Q25" s="143">
        <v>1</v>
      </c>
      <c r="R25" s="143">
        <v>3</v>
      </c>
      <c r="S25" s="143" t="s">
        <v>452</v>
      </c>
      <c r="T25" s="143">
        <v>2</v>
      </c>
      <c r="U25" s="143">
        <v>2</v>
      </c>
    </row>
    <row r="26" spans="1:21" x14ac:dyDescent="0.35">
      <c r="A26" s="356"/>
      <c r="B26" s="139" t="s">
        <v>385</v>
      </c>
      <c r="C26" s="138">
        <v>16</v>
      </c>
      <c r="D26" s="138">
        <v>2</v>
      </c>
      <c r="E26" s="138" t="s">
        <v>452</v>
      </c>
      <c r="F26" s="138">
        <v>5</v>
      </c>
      <c r="G26" s="138" t="s">
        <v>452</v>
      </c>
      <c r="H26" s="359"/>
      <c r="I26" s="139" t="s">
        <v>385</v>
      </c>
      <c r="J26" s="142">
        <v>1</v>
      </c>
      <c r="K26" s="142">
        <v>2</v>
      </c>
      <c r="L26" s="142" t="s">
        <v>452</v>
      </c>
      <c r="M26" s="142">
        <v>2</v>
      </c>
      <c r="N26" s="142">
        <v>2</v>
      </c>
      <c r="P26" s="139" t="s">
        <v>385</v>
      </c>
      <c r="Q26" s="143">
        <v>1</v>
      </c>
      <c r="R26" s="143">
        <v>4</v>
      </c>
      <c r="S26" s="143" t="s">
        <v>452</v>
      </c>
      <c r="T26" s="143">
        <v>1</v>
      </c>
      <c r="U26" s="143">
        <v>4</v>
      </c>
    </row>
    <row r="27" spans="1:21" x14ac:dyDescent="0.35">
      <c r="A27" s="356"/>
      <c r="B27" s="139" t="s">
        <v>182</v>
      </c>
      <c r="C27" s="138">
        <v>16</v>
      </c>
      <c r="D27" s="138">
        <v>2</v>
      </c>
      <c r="E27" s="138" t="s">
        <v>452</v>
      </c>
      <c r="F27" s="138">
        <v>5</v>
      </c>
      <c r="G27" s="138" t="s">
        <v>452</v>
      </c>
      <c r="H27" s="359"/>
      <c r="I27" s="139" t="s">
        <v>182</v>
      </c>
      <c r="J27" s="142">
        <v>1</v>
      </c>
      <c r="K27" s="142">
        <v>2</v>
      </c>
      <c r="L27" s="142" t="s">
        <v>452</v>
      </c>
      <c r="M27" s="142">
        <v>2</v>
      </c>
      <c r="N27" s="142">
        <v>2</v>
      </c>
      <c r="P27" s="139" t="s">
        <v>182</v>
      </c>
      <c r="Q27" s="143">
        <v>1</v>
      </c>
      <c r="R27" s="143">
        <v>1</v>
      </c>
      <c r="S27" s="143" t="s">
        <v>452</v>
      </c>
      <c r="T27" s="143"/>
      <c r="U27" s="143">
        <v>4</v>
      </c>
    </row>
    <row r="28" spans="1:21" x14ac:dyDescent="0.35">
      <c r="A28" s="356"/>
      <c r="B28" s="139" t="s">
        <v>373</v>
      </c>
      <c r="C28" s="138">
        <v>16</v>
      </c>
      <c r="D28" s="138">
        <v>2</v>
      </c>
      <c r="E28" s="138" t="s">
        <v>452</v>
      </c>
      <c r="F28" s="138">
        <v>5</v>
      </c>
      <c r="G28" s="138" t="s">
        <v>452</v>
      </c>
      <c r="H28" s="359"/>
      <c r="I28" s="139" t="s">
        <v>373</v>
      </c>
      <c r="J28" s="142" t="s">
        <v>452</v>
      </c>
      <c r="K28" s="142" t="s">
        <v>452</v>
      </c>
      <c r="L28" s="142" t="s">
        <v>452</v>
      </c>
      <c r="M28" s="142" t="s">
        <v>452</v>
      </c>
      <c r="N28" s="142" t="s">
        <v>452</v>
      </c>
      <c r="P28" s="139" t="s">
        <v>373</v>
      </c>
      <c r="Q28" s="143" t="s">
        <v>452</v>
      </c>
      <c r="R28" s="143" t="s">
        <v>452</v>
      </c>
      <c r="S28" s="143" t="s">
        <v>452</v>
      </c>
      <c r="T28" s="143" t="s">
        <v>452</v>
      </c>
      <c r="U28" s="143" t="s">
        <v>452</v>
      </c>
    </row>
    <row r="29" spans="1:21" x14ac:dyDescent="0.35">
      <c r="A29" s="357"/>
      <c r="B29" s="139" t="s">
        <v>181</v>
      </c>
      <c r="C29" s="138">
        <v>16</v>
      </c>
      <c r="D29" s="138">
        <v>2</v>
      </c>
      <c r="E29" s="138" t="s">
        <v>452</v>
      </c>
      <c r="F29" s="138">
        <v>5</v>
      </c>
      <c r="G29" s="138" t="s">
        <v>452</v>
      </c>
      <c r="H29" s="359"/>
      <c r="I29" s="139" t="s">
        <v>181</v>
      </c>
      <c r="J29" s="142">
        <v>1</v>
      </c>
      <c r="K29" s="142">
        <v>2</v>
      </c>
      <c r="L29" s="142" t="s">
        <v>452</v>
      </c>
      <c r="M29" s="142">
        <v>2</v>
      </c>
      <c r="N29" s="142">
        <v>2</v>
      </c>
      <c r="P29" s="139" t="s">
        <v>181</v>
      </c>
      <c r="Q29" s="143">
        <v>1</v>
      </c>
      <c r="R29" s="143" t="s">
        <v>452</v>
      </c>
      <c r="S29" s="143" t="s">
        <v>452</v>
      </c>
      <c r="T29" s="143" t="s">
        <v>452</v>
      </c>
      <c r="U29" s="143">
        <v>4</v>
      </c>
    </row>
    <row r="30" spans="1:21" x14ac:dyDescent="0.35">
      <c r="B30" s="139" t="s">
        <v>86</v>
      </c>
      <c r="C30" s="138">
        <v>16</v>
      </c>
      <c r="D30" s="138">
        <v>2</v>
      </c>
      <c r="E30" s="138" t="s">
        <v>452</v>
      </c>
      <c r="F30" s="138">
        <v>5</v>
      </c>
      <c r="G30" s="138" t="s">
        <v>452</v>
      </c>
      <c r="I30" s="139" t="s">
        <v>86</v>
      </c>
      <c r="J30" s="142">
        <v>1</v>
      </c>
      <c r="K30" s="142">
        <v>2</v>
      </c>
      <c r="L30" s="142" t="s">
        <v>452</v>
      </c>
      <c r="M30" s="142">
        <v>1</v>
      </c>
      <c r="N30" s="142">
        <v>1</v>
      </c>
      <c r="P30" s="139" t="s">
        <v>86</v>
      </c>
      <c r="Q30" s="143">
        <v>1</v>
      </c>
      <c r="R30" s="143" t="s">
        <v>452</v>
      </c>
      <c r="S30" s="143" t="s">
        <v>452</v>
      </c>
      <c r="T30" s="143">
        <v>1</v>
      </c>
      <c r="U30" s="143">
        <v>4</v>
      </c>
    </row>
    <row r="31" spans="1:21" x14ac:dyDescent="0.35">
      <c r="B31" s="139" t="s">
        <v>374</v>
      </c>
      <c r="C31" s="138">
        <v>6</v>
      </c>
      <c r="D31" s="138" t="s">
        <v>452</v>
      </c>
      <c r="E31" s="138" t="s">
        <v>452</v>
      </c>
      <c r="F31" s="138">
        <v>2</v>
      </c>
      <c r="G31" s="138" t="s">
        <v>452</v>
      </c>
      <c r="I31" s="139" t="s">
        <v>374</v>
      </c>
      <c r="J31" s="142">
        <v>1</v>
      </c>
      <c r="K31" s="142" t="s">
        <v>452</v>
      </c>
      <c r="L31" s="142">
        <v>2</v>
      </c>
      <c r="M31" s="142">
        <v>0</v>
      </c>
      <c r="N31" s="142">
        <v>1</v>
      </c>
      <c r="P31" s="139" t="s">
        <v>374</v>
      </c>
      <c r="Q31" s="143">
        <v>1</v>
      </c>
      <c r="R31" s="143" t="s">
        <v>452</v>
      </c>
      <c r="S31" s="143" t="s">
        <v>452</v>
      </c>
      <c r="T31" s="143">
        <v>1</v>
      </c>
      <c r="U31" s="143">
        <v>4</v>
      </c>
    </row>
    <row r="32" spans="1:21" x14ac:dyDescent="0.35">
      <c r="B32" s="139" t="s">
        <v>88</v>
      </c>
      <c r="C32" s="138">
        <v>2</v>
      </c>
      <c r="D32" s="138" t="s">
        <v>452</v>
      </c>
      <c r="E32" s="138" t="s">
        <v>452</v>
      </c>
      <c r="F32" s="138">
        <v>2</v>
      </c>
      <c r="G32" s="138" t="s">
        <v>452</v>
      </c>
      <c r="I32" s="139" t="s">
        <v>88</v>
      </c>
      <c r="J32" s="142">
        <v>1</v>
      </c>
      <c r="K32" s="142" t="s">
        <v>452</v>
      </c>
      <c r="L32" s="142">
        <v>1</v>
      </c>
      <c r="M32" s="142">
        <v>0</v>
      </c>
      <c r="N32" s="142">
        <v>1</v>
      </c>
      <c r="P32" s="139" t="s">
        <v>88</v>
      </c>
      <c r="Q32" s="143">
        <v>1</v>
      </c>
      <c r="R32" s="143" t="s">
        <v>452</v>
      </c>
      <c r="S32" s="143" t="s">
        <v>452</v>
      </c>
      <c r="T32" s="143">
        <v>1</v>
      </c>
      <c r="U32" s="143">
        <v>4</v>
      </c>
    </row>
    <row r="33" spans="1:21" x14ac:dyDescent="0.35">
      <c r="A33" s="358"/>
      <c r="B33" s="139" t="s">
        <v>423</v>
      </c>
      <c r="C33" s="138">
        <v>3</v>
      </c>
      <c r="D33" s="138" t="s">
        <v>452</v>
      </c>
      <c r="E33" s="138" t="s">
        <v>452</v>
      </c>
      <c r="F33" s="138">
        <v>2</v>
      </c>
      <c r="G33" s="138" t="s">
        <v>452</v>
      </c>
      <c r="I33" s="139" t="s">
        <v>423</v>
      </c>
      <c r="J33" s="142">
        <v>1</v>
      </c>
      <c r="K33" s="142" t="s">
        <v>452</v>
      </c>
      <c r="L33" s="142">
        <v>1</v>
      </c>
      <c r="M33" s="142">
        <v>0</v>
      </c>
      <c r="N33" s="142">
        <v>1</v>
      </c>
      <c r="P33" s="139" t="s">
        <v>423</v>
      </c>
      <c r="Q33" s="143">
        <v>1</v>
      </c>
      <c r="R33" s="143" t="s">
        <v>452</v>
      </c>
      <c r="S33" s="143" t="s">
        <v>452</v>
      </c>
      <c r="T33" s="143" t="s">
        <v>452</v>
      </c>
      <c r="U33" s="143">
        <v>1</v>
      </c>
    </row>
    <row r="34" spans="1:21" x14ac:dyDescent="0.35">
      <c r="Q34"/>
    </row>
    <row r="35" spans="1:21" x14ac:dyDescent="0.35">
      <c r="Q35"/>
    </row>
    <row r="36" spans="1:21" ht="63.5" x14ac:dyDescent="0.35">
      <c r="A36" s="353" t="s">
        <v>399</v>
      </c>
      <c r="B36" s="141" t="s">
        <v>400</v>
      </c>
      <c r="C36" s="141" t="s">
        <v>414</v>
      </c>
      <c r="D36" s="141" t="s">
        <v>82</v>
      </c>
      <c r="E36" s="141" t="s">
        <v>83</v>
      </c>
      <c r="F36" s="141" t="s">
        <v>84</v>
      </c>
      <c r="G36" s="354" t="s">
        <v>92</v>
      </c>
      <c r="I36" s="355" t="s">
        <v>401</v>
      </c>
      <c r="J36" s="141" t="s">
        <v>414</v>
      </c>
      <c r="K36" s="141" t="s">
        <v>82</v>
      </c>
      <c r="L36" s="141" t="s">
        <v>83</v>
      </c>
      <c r="M36" s="141" t="s">
        <v>84</v>
      </c>
      <c r="N36" s="354" t="s">
        <v>92</v>
      </c>
      <c r="P36" s="355" t="s">
        <v>402</v>
      </c>
      <c r="Q36" s="141" t="s">
        <v>414</v>
      </c>
      <c r="R36" s="141" t="s">
        <v>82</v>
      </c>
      <c r="S36" s="141" t="s">
        <v>83</v>
      </c>
      <c r="T36" s="141" t="s">
        <v>84</v>
      </c>
      <c r="U36" s="354" t="s">
        <v>92</v>
      </c>
    </row>
    <row r="37" spans="1:21" x14ac:dyDescent="0.35">
      <c r="A37" s="356"/>
      <c r="B37" s="139" t="s">
        <v>77</v>
      </c>
      <c r="C37" s="138">
        <v>20</v>
      </c>
      <c r="D37" s="138">
        <v>2</v>
      </c>
      <c r="E37" s="138">
        <v>1</v>
      </c>
      <c r="F37" s="138">
        <v>6</v>
      </c>
      <c r="G37" s="138" t="s">
        <v>452</v>
      </c>
      <c r="I37" s="139" t="s">
        <v>77</v>
      </c>
      <c r="J37" s="142" t="s">
        <v>452</v>
      </c>
      <c r="K37" s="142">
        <v>4</v>
      </c>
      <c r="L37" s="142" t="s">
        <v>452</v>
      </c>
      <c r="M37" s="142">
        <v>2</v>
      </c>
      <c r="N37" s="142">
        <v>4</v>
      </c>
      <c r="P37" s="139" t="s">
        <v>77</v>
      </c>
      <c r="Q37" s="143" t="s">
        <v>452</v>
      </c>
      <c r="R37" s="143">
        <v>3</v>
      </c>
      <c r="S37" s="143" t="s">
        <v>452</v>
      </c>
      <c r="T37" s="143">
        <v>3</v>
      </c>
      <c r="U37" s="143">
        <v>8</v>
      </c>
    </row>
    <row r="38" spans="1:21" x14ac:dyDescent="0.35">
      <c r="A38" s="356"/>
      <c r="B38" s="139" t="s">
        <v>389</v>
      </c>
      <c r="C38" s="138">
        <v>20</v>
      </c>
      <c r="D38" s="138">
        <v>2</v>
      </c>
      <c r="E38" s="138">
        <v>1</v>
      </c>
      <c r="F38" s="138">
        <v>6</v>
      </c>
      <c r="G38" s="138" t="s">
        <v>452</v>
      </c>
      <c r="I38" s="139" t="s">
        <v>389</v>
      </c>
      <c r="J38" s="142" t="s">
        <v>452</v>
      </c>
      <c r="K38" s="142">
        <v>4</v>
      </c>
      <c r="L38" s="142" t="s">
        <v>452</v>
      </c>
      <c r="M38" s="142">
        <v>1</v>
      </c>
      <c r="N38" s="142">
        <v>4</v>
      </c>
      <c r="P38" s="139" t="s">
        <v>389</v>
      </c>
      <c r="Q38" s="143" t="s">
        <v>452</v>
      </c>
      <c r="R38" s="143">
        <v>3</v>
      </c>
      <c r="S38" s="143" t="s">
        <v>452</v>
      </c>
      <c r="T38" s="143">
        <v>3</v>
      </c>
      <c r="U38" s="143">
        <v>8</v>
      </c>
    </row>
    <row r="39" spans="1:21" x14ac:dyDescent="0.35">
      <c r="A39" s="356"/>
      <c r="B39" s="139" t="s">
        <v>184</v>
      </c>
      <c r="C39" s="138">
        <v>16</v>
      </c>
      <c r="D39" s="138">
        <v>1</v>
      </c>
      <c r="E39" s="138" t="s">
        <v>452</v>
      </c>
      <c r="F39" s="138">
        <v>5</v>
      </c>
      <c r="G39" s="138" t="s">
        <v>452</v>
      </c>
      <c r="I39" s="139" t="s">
        <v>184</v>
      </c>
      <c r="J39" s="142" t="s">
        <v>452</v>
      </c>
      <c r="K39" s="142">
        <v>2</v>
      </c>
      <c r="L39" s="142" t="s">
        <v>452</v>
      </c>
      <c r="M39" s="142">
        <v>1</v>
      </c>
      <c r="N39" s="142">
        <v>3</v>
      </c>
      <c r="P39" s="139" t="s">
        <v>184</v>
      </c>
      <c r="Q39" s="143" t="s">
        <v>452</v>
      </c>
      <c r="R39" s="143">
        <v>2</v>
      </c>
      <c r="S39" s="143" t="s">
        <v>452</v>
      </c>
      <c r="T39" s="143">
        <v>1</v>
      </c>
      <c r="U39" s="143">
        <v>6</v>
      </c>
    </row>
    <row r="40" spans="1:21" x14ac:dyDescent="0.35">
      <c r="A40" s="356"/>
      <c r="B40" s="139" t="s">
        <v>183</v>
      </c>
      <c r="C40" s="138">
        <v>16</v>
      </c>
      <c r="D40" s="138">
        <v>1</v>
      </c>
      <c r="E40" s="138" t="s">
        <v>452</v>
      </c>
      <c r="F40" s="138">
        <v>5</v>
      </c>
      <c r="G40" s="138" t="s">
        <v>452</v>
      </c>
      <c r="I40" s="139" t="s">
        <v>183</v>
      </c>
      <c r="J40" s="142" t="s">
        <v>452</v>
      </c>
      <c r="K40" s="142">
        <v>2</v>
      </c>
      <c r="L40" s="142" t="s">
        <v>452</v>
      </c>
      <c r="M40" s="142">
        <v>1</v>
      </c>
      <c r="N40" s="142">
        <v>1</v>
      </c>
      <c r="P40" s="139" t="s">
        <v>183</v>
      </c>
      <c r="Q40" s="143" t="s">
        <v>452</v>
      </c>
      <c r="R40" s="143">
        <v>2</v>
      </c>
      <c r="S40" s="143" t="s">
        <v>452</v>
      </c>
      <c r="T40" s="143">
        <v>1</v>
      </c>
      <c r="U40" s="143">
        <v>6</v>
      </c>
    </row>
    <row r="41" spans="1:21" x14ac:dyDescent="0.35">
      <c r="A41" s="356"/>
      <c r="B41" s="139" t="s">
        <v>94</v>
      </c>
      <c r="C41" s="138">
        <v>12</v>
      </c>
      <c r="D41" s="138">
        <v>1</v>
      </c>
      <c r="E41" s="138" t="s">
        <v>452</v>
      </c>
      <c r="F41" s="138">
        <v>4</v>
      </c>
      <c r="G41" s="138" t="s">
        <v>452</v>
      </c>
      <c r="I41" s="139" t="s">
        <v>94</v>
      </c>
      <c r="J41" s="142" t="s">
        <v>452</v>
      </c>
      <c r="K41" s="142">
        <v>1</v>
      </c>
      <c r="L41" s="142" t="s">
        <v>452</v>
      </c>
      <c r="M41" s="142">
        <v>1</v>
      </c>
      <c r="N41" s="142">
        <v>1</v>
      </c>
      <c r="P41" s="139" t="s">
        <v>94</v>
      </c>
      <c r="Q41" s="143" t="s">
        <v>452</v>
      </c>
      <c r="R41" s="143">
        <v>2</v>
      </c>
      <c r="S41" s="143" t="s">
        <v>452</v>
      </c>
      <c r="T41" s="143">
        <v>1</v>
      </c>
      <c r="U41" s="143">
        <v>1</v>
      </c>
    </row>
    <row r="42" spans="1:21" x14ac:dyDescent="0.35">
      <c r="A42" s="356"/>
      <c r="B42" s="139" t="s">
        <v>385</v>
      </c>
      <c r="C42" s="138">
        <v>12</v>
      </c>
      <c r="D42" s="138">
        <v>1</v>
      </c>
      <c r="E42" s="138" t="s">
        <v>452</v>
      </c>
      <c r="F42" s="138">
        <v>4</v>
      </c>
      <c r="G42" s="138" t="s">
        <v>452</v>
      </c>
      <c r="I42" s="139" t="s">
        <v>385</v>
      </c>
      <c r="J42" s="142" t="s">
        <v>452</v>
      </c>
      <c r="K42" s="142">
        <v>1</v>
      </c>
      <c r="L42" s="142" t="s">
        <v>452</v>
      </c>
      <c r="M42" s="142">
        <v>1</v>
      </c>
      <c r="N42" s="142">
        <v>1</v>
      </c>
      <c r="P42" s="139" t="s">
        <v>385</v>
      </c>
      <c r="Q42" s="143" t="s">
        <v>452</v>
      </c>
      <c r="R42" s="143">
        <v>2</v>
      </c>
      <c r="S42" s="143" t="s">
        <v>452</v>
      </c>
      <c r="T42" s="143" t="s">
        <v>452</v>
      </c>
      <c r="U42" s="143">
        <v>2</v>
      </c>
    </row>
    <row r="43" spans="1:21" x14ac:dyDescent="0.35">
      <c r="A43" s="356"/>
      <c r="B43" s="139" t="s">
        <v>182</v>
      </c>
      <c r="C43" s="138">
        <v>12</v>
      </c>
      <c r="D43" s="138">
        <v>1</v>
      </c>
      <c r="E43" s="138" t="s">
        <v>452</v>
      </c>
      <c r="F43" s="138">
        <v>4</v>
      </c>
      <c r="G43" s="138" t="s">
        <v>452</v>
      </c>
      <c r="I43" s="139" t="s">
        <v>182</v>
      </c>
      <c r="J43" s="142" t="s">
        <v>452</v>
      </c>
      <c r="K43" s="142">
        <v>1</v>
      </c>
      <c r="L43" s="142" t="s">
        <v>452</v>
      </c>
      <c r="M43" s="142">
        <v>1</v>
      </c>
      <c r="N43" s="142">
        <v>1</v>
      </c>
      <c r="P43" s="139" t="s">
        <v>182</v>
      </c>
      <c r="Q43" s="143" t="s">
        <v>452</v>
      </c>
      <c r="R43" s="143" t="s">
        <v>452</v>
      </c>
      <c r="S43" s="143" t="s">
        <v>452</v>
      </c>
      <c r="T43" s="143" t="s">
        <v>452</v>
      </c>
      <c r="U43" s="143">
        <v>2</v>
      </c>
    </row>
    <row r="44" spans="1:21" x14ac:dyDescent="0.35">
      <c r="A44" s="356"/>
      <c r="B44" s="139" t="s">
        <v>373</v>
      </c>
      <c r="C44" s="138">
        <v>12</v>
      </c>
      <c r="D44" s="138">
        <v>1</v>
      </c>
      <c r="E44" s="138" t="s">
        <v>452</v>
      </c>
      <c r="F44" s="138">
        <v>4</v>
      </c>
      <c r="G44" s="138" t="s">
        <v>452</v>
      </c>
      <c r="I44" s="139" t="s">
        <v>373</v>
      </c>
      <c r="J44" s="142" t="s">
        <v>452</v>
      </c>
      <c r="K44" s="142" t="s">
        <v>452</v>
      </c>
      <c r="L44" s="142" t="s">
        <v>452</v>
      </c>
      <c r="M44" s="142" t="s">
        <v>452</v>
      </c>
      <c r="N44" s="142" t="s">
        <v>452</v>
      </c>
      <c r="P44" s="139" t="s">
        <v>373</v>
      </c>
      <c r="Q44" s="143" t="s">
        <v>452</v>
      </c>
      <c r="R44" s="143" t="s">
        <v>452</v>
      </c>
      <c r="S44" s="143" t="s">
        <v>452</v>
      </c>
      <c r="T44" s="143" t="s">
        <v>452</v>
      </c>
      <c r="U44" s="143" t="s">
        <v>452</v>
      </c>
    </row>
    <row r="45" spans="1:21" x14ac:dyDescent="0.35">
      <c r="A45" s="357"/>
      <c r="B45" s="139" t="s">
        <v>181</v>
      </c>
      <c r="C45" s="138">
        <v>12</v>
      </c>
      <c r="D45" s="138">
        <v>1</v>
      </c>
      <c r="E45" s="138" t="s">
        <v>452</v>
      </c>
      <c r="F45" s="138">
        <v>4</v>
      </c>
      <c r="G45" s="138" t="s">
        <v>452</v>
      </c>
      <c r="I45" s="139" t="s">
        <v>181</v>
      </c>
      <c r="J45" s="142" t="s">
        <v>452</v>
      </c>
      <c r="K45" s="142">
        <v>1</v>
      </c>
      <c r="L45" s="142" t="s">
        <v>452</v>
      </c>
      <c r="M45" s="142">
        <v>1</v>
      </c>
      <c r="N45" s="142">
        <v>1</v>
      </c>
      <c r="P45" s="139" t="s">
        <v>181</v>
      </c>
      <c r="Q45" s="143" t="s">
        <v>452</v>
      </c>
      <c r="R45" s="143" t="s">
        <v>452</v>
      </c>
      <c r="S45" s="143" t="s">
        <v>452</v>
      </c>
      <c r="T45" s="143" t="s">
        <v>452</v>
      </c>
      <c r="U45" s="143">
        <v>2</v>
      </c>
    </row>
    <row r="46" spans="1:21" x14ac:dyDescent="0.35">
      <c r="A46" s="357"/>
      <c r="B46" s="139" t="s">
        <v>86</v>
      </c>
      <c r="C46" s="138">
        <v>12</v>
      </c>
      <c r="D46" s="138">
        <v>1</v>
      </c>
      <c r="E46" s="138" t="s">
        <v>452</v>
      </c>
      <c r="F46" s="138">
        <v>2</v>
      </c>
      <c r="G46" s="138" t="s">
        <v>452</v>
      </c>
      <c r="I46" s="139" t="s">
        <v>86</v>
      </c>
      <c r="J46" s="142" t="s">
        <v>452</v>
      </c>
      <c r="K46" s="142">
        <v>1</v>
      </c>
      <c r="L46" s="142" t="s">
        <v>452</v>
      </c>
      <c r="M46" s="142" t="s">
        <v>452</v>
      </c>
      <c r="N46" s="142" t="s">
        <v>452</v>
      </c>
      <c r="P46" s="139" t="s">
        <v>86</v>
      </c>
      <c r="Q46" s="143" t="s">
        <v>452</v>
      </c>
      <c r="R46" s="143" t="s">
        <v>452</v>
      </c>
      <c r="S46" s="143" t="s">
        <v>452</v>
      </c>
      <c r="T46" s="143" t="s">
        <v>452</v>
      </c>
      <c r="U46" s="143">
        <v>2</v>
      </c>
    </row>
    <row r="47" spans="1:21" x14ac:dyDescent="0.35">
      <c r="B47" s="139" t="s">
        <v>374</v>
      </c>
      <c r="C47" s="138">
        <v>4</v>
      </c>
      <c r="D47" s="138" t="s">
        <v>452</v>
      </c>
      <c r="E47" s="138" t="s">
        <v>452</v>
      </c>
      <c r="F47" s="138">
        <v>1</v>
      </c>
      <c r="G47" s="138" t="s">
        <v>452</v>
      </c>
      <c r="I47" s="139" t="s">
        <v>374</v>
      </c>
      <c r="J47" s="142" t="s">
        <v>452</v>
      </c>
      <c r="K47" s="142" t="s">
        <v>452</v>
      </c>
      <c r="L47" s="142">
        <v>1</v>
      </c>
      <c r="M47" s="142" t="s">
        <v>452</v>
      </c>
      <c r="N47" s="142" t="s">
        <v>452</v>
      </c>
      <c r="P47" s="139" t="s">
        <v>374</v>
      </c>
      <c r="Q47" s="143" t="s">
        <v>452</v>
      </c>
      <c r="R47" s="143" t="s">
        <v>452</v>
      </c>
      <c r="S47" s="143" t="s">
        <v>452</v>
      </c>
      <c r="T47" s="143" t="s">
        <v>452</v>
      </c>
      <c r="U47" s="143">
        <v>2</v>
      </c>
    </row>
    <row r="48" spans="1:21" x14ac:dyDescent="0.35">
      <c r="B48" s="139" t="s">
        <v>88</v>
      </c>
      <c r="C48" s="138">
        <v>1</v>
      </c>
      <c r="D48" s="138" t="s">
        <v>452</v>
      </c>
      <c r="E48" s="138" t="s">
        <v>452</v>
      </c>
      <c r="F48" s="138">
        <v>1</v>
      </c>
      <c r="G48" s="138" t="s">
        <v>452</v>
      </c>
      <c r="I48" s="139" t="s">
        <v>88</v>
      </c>
      <c r="J48" s="142" t="s">
        <v>452</v>
      </c>
      <c r="K48" s="142" t="s">
        <v>452</v>
      </c>
      <c r="L48" s="142" t="s">
        <v>452</v>
      </c>
      <c r="M48" s="142" t="s">
        <v>452</v>
      </c>
      <c r="N48" s="142" t="s">
        <v>452</v>
      </c>
      <c r="P48" s="139" t="s">
        <v>88</v>
      </c>
      <c r="Q48" s="143" t="s">
        <v>452</v>
      </c>
      <c r="R48" s="143" t="s">
        <v>452</v>
      </c>
      <c r="S48" s="143" t="s">
        <v>452</v>
      </c>
      <c r="T48" s="143" t="s">
        <v>452</v>
      </c>
      <c r="U48" s="143">
        <v>2</v>
      </c>
    </row>
    <row r="49" spans="1:21" x14ac:dyDescent="0.35">
      <c r="A49" s="358"/>
      <c r="B49" s="139" t="s">
        <v>423</v>
      </c>
      <c r="C49" s="138">
        <v>2</v>
      </c>
      <c r="D49" s="138" t="s">
        <v>452</v>
      </c>
      <c r="E49" s="138" t="s">
        <v>452</v>
      </c>
      <c r="F49" s="138">
        <v>1</v>
      </c>
      <c r="G49" s="138" t="s">
        <v>452</v>
      </c>
      <c r="I49" s="139" t="s">
        <v>423</v>
      </c>
      <c r="J49" s="142" t="s">
        <v>452</v>
      </c>
      <c r="K49" s="142" t="s">
        <v>452</v>
      </c>
      <c r="L49" s="142" t="s">
        <v>452</v>
      </c>
      <c r="M49" s="142" t="s">
        <v>452</v>
      </c>
      <c r="N49" s="142" t="s">
        <v>452</v>
      </c>
      <c r="P49" s="139" t="s">
        <v>423</v>
      </c>
      <c r="Q49" s="143" t="s">
        <v>452</v>
      </c>
      <c r="R49" s="143" t="s">
        <v>452</v>
      </c>
      <c r="S49" s="143" t="s">
        <v>452</v>
      </c>
      <c r="T49" s="143" t="s">
        <v>452</v>
      </c>
      <c r="U49" s="143" t="s">
        <v>452</v>
      </c>
    </row>
    <row r="52" spans="1:21" x14ac:dyDescent="0.35">
      <c r="A52" s="375" t="s">
        <v>416</v>
      </c>
    </row>
    <row r="55" spans="1:21" ht="65.5" x14ac:dyDescent="0.35">
      <c r="C55" s="376" t="s">
        <v>417</v>
      </c>
      <c r="D55" s="376" t="s">
        <v>418</v>
      </c>
      <c r="E55" s="376" t="s">
        <v>419</v>
      </c>
      <c r="F55" s="376" t="s">
        <v>420</v>
      </c>
      <c r="G55" s="376" t="s">
        <v>421</v>
      </c>
      <c r="H55" s="376" t="s">
        <v>422</v>
      </c>
    </row>
    <row r="56" spans="1:21" x14ac:dyDescent="0.35">
      <c r="B56" s="139" t="s">
        <v>77</v>
      </c>
      <c r="C56" s="377">
        <v>225</v>
      </c>
      <c r="D56" s="377">
        <v>100</v>
      </c>
      <c r="E56" s="377">
        <v>25</v>
      </c>
      <c r="F56" s="377">
        <v>6230</v>
      </c>
      <c r="G56" s="377">
        <v>200</v>
      </c>
      <c r="H56" s="377">
        <v>6780</v>
      </c>
    </row>
    <row r="57" spans="1:21" x14ac:dyDescent="0.35">
      <c r="B57" s="139" t="s">
        <v>389</v>
      </c>
      <c r="C57" s="377">
        <v>225</v>
      </c>
      <c r="D57" s="377">
        <v>100</v>
      </c>
      <c r="E57" s="377">
        <v>25</v>
      </c>
      <c r="F57" s="377">
        <v>6230</v>
      </c>
      <c r="G57" s="377">
        <v>200</v>
      </c>
      <c r="H57" s="377">
        <v>6780</v>
      </c>
    </row>
    <row r="58" spans="1:21" x14ac:dyDescent="0.35">
      <c r="B58" s="139" t="s">
        <v>184</v>
      </c>
      <c r="C58" s="377">
        <v>150</v>
      </c>
      <c r="D58" s="377">
        <v>95</v>
      </c>
      <c r="E58" s="377">
        <v>25</v>
      </c>
      <c r="F58" s="377">
        <v>4288</v>
      </c>
      <c r="G58" s="377">
        <v>100</v>
      </c>
      <c r="H58" s="377">
        <v>4658</v>
      </c>
    </row>
    <row r="59" spans="1:21" x14ac:dyDescent="0.35">
      <c r="B59" s="139" t="s">
        <v>183</v>
      </c>
      <c r="C59" s="377">
        <v>150</v>
      </c>
      <c r="D59" s="377">
        <v>95</v>
      </c>
      <c r="E59" s="377">
        <v>25</v>
      </c>
      <c r="F59" s="377">
        <v>4288</v>
      </c>
      <c r="G59" s="377">
        <v>100</v>
      </c>
      <c r="H59" s="377">
        <v>4658</v>
      </c>
    </row>
    <row r="60" spans="1:21" x14ac:dyDescent="0.35">
      <c r="B60" s="139" t="s">
        <v>94</v>
      </c>
      <c r="C60" s="377">
        <v>100</v>
      </c>
      <c r="D60" s="377">
        <v>80</v>
      </c>
      <c r="E60" s="377">
        <v>20</v>
      </c>
      <c r="F60" s="377">
        <v>2171</v>
      </c>
      <c r="G60" s="377">
        <v>85</v>
      </c>
      <c r="H60" s="377">
        <v>2433</v>
      </c>
    </row>
    <row r="61" spans="1:21" x14ac:dyDescent="0.35">
      <c r="B61" s="139" t="s">
        <v>385</v>
      </c>
      <c r="C61" s="377">
        <v>100</v>
      </c>
      <c r="D61" s="377">
        <v>80</v>
      </c>
      <c r="E61" s="377">
        <v>20</v>
      </c>
      <c r="F61" s="377">
        <v>2148</v>
      </c>
      <c r="G61" s="377">
        <v>85</v>
      </c>
      <c r="H61" s="377">
        <v>2456</v>
      </c>
    </row>
    <row r="62" spans="1:21" x14ac:dyDescent="0.35">
      <c r="B62" s="139" t="s">
        <v>182</v>
      </c>
      <c r="C62" s="377">
        <v>100</v>
      </c>
      <c r="D62" s="377">
        <v>80</v>
      </c>
      <c r="E62" s="377">
        <v>20</v>
      </c>
      <c r="F62" s="377">
        <v>2131</v>
      </c>
      <c r="G62" s="377">
        <v>85</v>
      </c>
      <c r="H62" s="377">
        <v>2416</v>
      </c>
    </row>
    <row r="63" spans="1:21" x14ac:dyDescent="0.35">
      <c r="B63" s="139" t="s">
        <v>373</v>
      </c>
      <c r="C63" s="377">
        <v>150</v>
      </c>
      <c r="D63" s="377">
        <v>95</v>
      </c>
      <c r="E63" s="377">
        <v>25</v>
      </c>
      <c r="F63" s="377">
        <v>2160</v>
      </c>
      <c r="G63" s="377">
        <v>85</v>
      </c>
      <c r="H63" s="377">
        <v>2515</v>
      </c>
    </row>
    <row r="64" spans="1:21" x14ac:dyDescent="0.35">
      <c r="B64" s="139" t="s">
        <v>181</v>
      </c>
      <c r="C64" s="377">
        <v>100</v>
      </c>
      <c r="D64" s="377">
        <v>80</v>
      </c>
      <c r="E64" s="377">
        <v>20</v>
      </c>
      <c r="F64" s="377">
        <v>1370</v>
      </c>
      <c r="G64" s="377">
        <v>0</v>
      </c>
      <c r="H64" s="377">
        <v>1570</v>
      </c>
    </row>
    <row r="65" spans="2:10" x14ac:dyDescent="0.35">
      <c r="B65" s="139" t="s">
        <v>86</v>
      </c>
      <c r="C65" s="377">
        <v>60</v>
      </c>
      <c r="D65" s="377">
        <v>60</v>
      </c>
      <c r="E65" s="377">
        <v>15</v>
      </c>
      <c r="F65" s="377">
        <v>689</v>
      </c>
      <c r="G65" s="377">
        <v>0</v>
      </c>
      <c r="H65" s="377">
        <v>824</v>
      </c>
    </row>
    <row r="66" spans="2:10" x14ac:dyDescent="0.35">
      <c r="B66" s="139" t="s">
        <v>374</v>
      </c>
      <c r="C66" s="377">
        <v>24</v>
      </c>
      <c r="D66" s="377">
        <v>10</v>
      </c>
      <c r="E66" s="377">
        <v>10</v>
      </c>
      <c r="F66" s="377">
        <v>253</v>
      </c>
      <c r="G66" s="377">
        <v>0</v>
      </c>
      <c r="H66" s="377">
        <v>297</v>
      </c>
    </row>
    <row r="67" spans="2:10" x14ac:dyDescent="0.35">
      <c r="B67" s="139" t="s">
        <v>88</v>
      </c>
      <c r="C67" s="377">
        <v>24</v>
      </c>
      <c r="D67" s="377">
        <v>10</v>
      </c>
      <c r="E67" s="377">
        <v>10</v>
      </c>
      <c r="F67" s="377">
        <v>248</v>
      </c>
      <c r="G67" s="377">
        <v>0</v>
      </c>
      <c r="H67" s="377">
        <v>292</v>
      </c>
    </row>
    <row r="68" spans="2:10" x14ac:dyDescent="0.35">
      <c r="B68" s="139" t="s">
        <v>423</v>
      </c>
      <c r="C68" s="377">
        <v>24</v>
      </c>
      <c r="D68" s="377">
        <v>10</v>
      </c>
      <c r="E68" s="377">
        <v>10</v>
      </c>
      <c r="F68" s="377">
        <v>221</v>
      </c>
      <c r="G68" s="377">
        <v>0</v>
      </c>
      <c r="H68" s="377">
        <v>265</v>
      </c>
    </row>
    <row r="77" spans="2:10" x14ac:dyDescent="0.35">
      <c r="D77" s="1"/>
      <c r="E77" s="378"/>
      <c r="F77" s="378"/>
      <c r="G77" s="378"/>
      <c r="H77" s="378"/>
      <c r="I77" s="378"/>
      <c r="J77" s="378"/>
    </row>
    <row r="78" spans="2:10" x14ac:dyDescent="0.35">
      <c r="D78" s="1"/>
      <c r="E78" s="1"/>
      <c r="F78" s="1"/>
      <c r="G78" s="1"/>
      <c r="H78" s="1"/>
      <c r="I78" s="1"/>
      <c r="J78" s="1"/>
    </row>
    <row r="79" spans="2:10" x14ac:dyDescent="0.35">
      <c r="D79" s="1"/>
      <c r="E79" s="1"/>
      <c r="F79" s="1"/>
      <c r="G79" s="1"/>
      <c r="H79" s="1"/>
      <c r="I79" s="1"/>
      <c r="J79" s="1"/>
    </row>
    <row r="80" spans="2:10" x14ac:dyDescent="0.35">
      <c r="D80" s="1"/>
      <c r="E80" s="1"/>
      <c r="F80" s="1"/>
      <c r="G80" s="1"/>
      <c r="H80" s="1"/>
      <c r="I80" s="1"/>
      <c r="J80" s="1"/>
    </row>
    <row r="81" spans="4:10" x14ac:dyDescent="0.35">
      <c r="D81" s="1"/>
      <c r="E81" s="1"/>
      <c r="F81" s="1"/>
      <c r="G81" s="1"/>
      <c r="H81" s="1"/>
      <c r="I81" s="1"/>
      <c r="J81" s="1"/>
    </row>
    <row r="82" spans="4:10" x14ac:dyDescent="0.35">
      <c r="D82" s="1"/>
      <c r="E82" s="1"/>
      <c r="F82" s="1"/>
      <c r="G82" s="1"/>
      <c r="H82" s="1"/>
      <c r="I82" s="1"/>
      <c r="J82" s="1"/>
    </row>
    <row r="83" spans="4:10" x14ac:dyDescent="0.35">
      <c r="D83" s="1"/>
      <c r="E83" s="1"/>
      <c r="F83" s="1"/>
      <c r="G83" s="1"/>
      <c r="H83" s="1"/>
      <c r="I83" s="1"/>
      <c r="J83" s="1"/>
    </row>
    <row r="84" spans="4:10" x14ac:dyDescent="0.35">
      <c r="D84" s="1"/>
      <c r="E84" s="1"/>
      <c r="F84" s="1"/>
      <c r="G84" s="1"/>
      <c r="H84" s="1"/>
      <c r="I84" s="1"/>
      <c r="J84" s="1"/>
    </row>
    <row r="85" spans="4:10" x14ac:dyDescent="0.35">
      <c r="D85" s="1"/>
      <c r="E85" s="1"/>
      <c r="F85" s="1"/>
      <c r="G85" s="1"/>
      <c r="H85" s="1"/>
      <c r="I85" s="1"/>
      <c r="J85" s="1"/>
    </row>
    <row r="86" spans="4:10" x14ac:dyDescent="0.35">
      <c r="D86" s="1"/>
      <c r="E86" s="1"/>
      <c r="F86" s="1"/>
      <c r="G86" s="1"/>
      <c r="H86" s="1"/>
      <c r="I86" s="1"/>
      <c r="J86" s="1"/>
    </row>
    <row r="87" spans="4:10" x14ac:dyDescent="0.35">
      <c r="D87" s="1"/>
      <c r="E87" s="1"/>
      <c r="F87" s="1"/>
      <c r="G87" s="1"/>
      <c r="H87" s="1"/>
      <c r="I87" s="1"/>
      <c r="J87" s="1"/>
    </row>
    <row r="88" spans="4:10" x14ac:dyDescent="0.35">
      <c r="D88" s="1"/>
      <c r="E88" s="1"/>
      <c r="F88" s="1"/>
      <c r="G88" s="1"/>
      <c r="H88" s="1"/>
      <c r="I88" s="1"/>
      <c r="J88" s="1"/>
    </row>
    <row r="89" spans="4:10" x14ac:dyDescent="0.35">
      <c r="D89" s="1"/>
      <c r="E89" s="1"/>
      <c r="F89" s="1"/>
      <c r="G89" s="1"/>
      <c r="H89" s="1"/>
      <c r="I89" s="1"/>
      <c r="J89" s="1"/>
    </row>
    <row r="90" spans="4:10" x14ac:dyDescent="0.35">
      <c r="D90" s="1"/>
      <c r="E90" s="1"/>
      <c r="F90" s="1"/>
      <c r="G90" s="1"/>
      <c r="H90" s="1"/>
      <c r="I90" s="1"/>
      <c r="J90" s="1"/>
    </row>
    <row r="91" spans="4:10" x14ac:dyDescent="0.35">
      <c r="D91" s="1"/>
      <c r="E91" s="1"/>
      <c r="F91" s="1"/>
      <c r="G91" s="1"/>
      <c r="H91" s="1"/>
      <c r="I91" s="1"/>
      <c r="J91" s="1"/>
    </row>
    <row r="92" spans="4:10" x14ac:dyDescent="0.35">
      <c r="D92" s="1"/>
      <c r="E92" s="1"/>
      <c r="F92" s="1"/>
      <c r="G92" s="1"/>
      <c r="H92" s="1"/>
      <c r="I92" s="1"/>
      <c r="J92" s="1"/>
    </row>
    <row r="93" spans="4:10" x14ac:dyDescent="0.35">
      <c r="D93" s="1"/>
      <c r="E93" s="1"/>
      <c r="F93" s="1"/>
      <c r="G93" s="1"/>
      <c r="H93" s="1"/>
      <c r="I93" s="1"/>
      <c r="J93" s="1"/>
    </row>
    <row r="94" spans="4:10" x14ac:dyDescent="0.35">
      <c r="D94" s="1"/>
      <c r="E94" s="1"/>
      <c r="F94" s="1"/>
      <c r="G94" s="1"/>
      <c r="H94" s="1"/>
      <c r="I94" s="1"/>
      <c r="J94" s="1"/>
    </row>
    <row r="95" spans="4:10" x14ac:dyDescent="0.35">
      <c r="D95" s="1"/>
      <c r="E95" s="1"/>
      <c r="F95" s="1"/>
      <c r="G95" s="1"/>
      <c r="H95" s="1"/>
      <c r="I95" s="1"/>
      <c r="J95" s="1"/>
    </row>
  </sheetData>
  <sheetProtection selectLockedCells="1" selectUnlockedCells="1"/>
  <mergeCells count="1">
    <mergeCell ref="K3:N3"/>
  </mergeCells>
  <printOptions horizontalCentered="1" verticalCentered="1"/>
  <pageMargins left="0.5" right="0.5" top="0.5" bottom="0.5" header="0.3" footer="0.3"/>
  <pageSetup scale="45" orientation="landscape" r:id="rId1"/>
  <headerFooter>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V97"/>
  <sheetViews>
    <sheetView zoomScaleNormal="100" workbookViewId="0"/>
  </sheetViews>
  <sheetFormatPr defaultRowHeight="14.5" x14ac:dyDescent="0.35"/>
  <cols>
    <col min="1" max="1" width="19" customWidth="1"/>
    <col min="2" max="2" width="34.81640625" bestFit="1" customWidth="1"/>
    <col min="3" max="6" width="15.7265625" customWidth="1"/>
    <col min="11" max="11" width="30.54296875" bestFit="1" customWidth="1"/>
    <col min="12" max="15" width="15.7265625" customWidth="1"/>
    <col min="18" max="18" width="30.54296875" bestFit="1" customWidth="1"/>
    <col min="19" max="22" width="15.7265625" customWidth="1"/>
  </cols>
  <sheetData>
    <row r="1" spans="1:18" x14ac:dyDescent="0.35">
      <c r="A1" s="634" t="s">
        <v>95</v>
      </c>
      <c r="B1" s="634"/>
      <c r="C1" s="634"/>
      <c r="D1" s="634"/>
      <c r="E1" s="634"/>
      <c r="F1" s="634"/>
      <c r="G1" s="634"/>
      <c r="H1" s="634"/>
      <c r="I1" s="634"/>
      <c r="J1" s="634"/>
      <c r="K1" s="634"/>
      <c r="L1" s="634"/>
      <c r="M1" s="634"/>
      <c r="N1" s="634"/>
      <c r="O1" s="634"/>
      <c r="P1" s="634"/>
      <c r="Q1" s="634"/>
      <c r="R1" s="634"/>
    </row>
    <row r="2" spans="1:18" x14ac:dyDescent="0.35">
      <c r="A2" s="634"/>
      <c r="B2" s="634"/>
      <c r="C2" s="634"/>
      <c r="D2" s="634"/>
      <c r="E2" s="634"/>
      <c r="F2" s="634"/>
      <c r="G2" s="634"/>
      <c r="H2" s="634"/>
      <c r="I2" s="634"/>
      <c r="J2" s="634"/>
      <c r="K2" s="634"/>
      <c r="L2" s="634"/>
      <c r="M2" s="634"/>
      <c r="N2" s="634"/>
      <c r="O2" s="634"/>
      <c r="P2" s="634"/>
      <c r="Q2" s="634"/>
      <c r="R2" s="634"/>
    </row>
    <row r="3" spans="1:18" x14ac:dyDescent="0.35">
      <c r="A3" s="634"/>
      <c r="B3" s="634"/>
      <c r="C3" s="634"/>
      <c r="D3" s="634"/>
      <c r="E3" s="634"/>
      <c r="F3" s="634"/>
      <c r="G3" s="634"/>
      <c r="H3" s="634"/>
      <c r="I3" s="634"/>
      <c r="J3" s="634"/>
      <c r="K3" s="634"/>
      <c r="L3" s="634"/>
      <c r="M3" s="634"/>
      <c r="N3" s="634"/>
      <c r="O3" s="634"/>
      <c r="P3" s="634"/>
      <c r="Q3" s="634"/>
      <c r="R3" s="634"/>
    </row>
    <row r="4" spans="1:18" x14ac:dyDescent="0.35">
      <c r="A4" s="634"/>
      <c r="B4" s="634"/>
      <c r="C4" s="634"/>
      <c r="D4" s="634"/>
      <c r="E4" s="634"/>
      <c r="F4" s="634"/>
      <c r="G4" s="634"/>
      <c r="H4" s="634"/>
      <c r="I4" s="634"/>
      <c r="J4" s="634"/>
      <c r="K4" s="634"/>
      <c r="L4" s="634"/>
      <c r="M4" s="634"/>
      <c r="N4" s="634"/>
      <c r="O4" s="634"/>
      <c r="P4" s="634"/>
      <c r="Q4" s="634"/>
      <c r="R4" s="634"/>
    </row>
    <row r="5" spans="1:18" x14ac:dyDescent="0.35">
      <c r="A5" s="634"/>
      <c r="B5" s="634"/>
      <c r="C5" s="634"/>
      <c r="D5" s="634"/>
      <c r="E5" s="634"/>
      <c r="F5" s="634"/>
      <c r="G5" s="634"/>
      <c r="H5" s="634"/>
      <c r="I5" s="634"/>
      <c r="J5" s="634"/>
      <c r="K5" s="634"/>
      <c r="L5" s="634"/>
      <c r="M5" s="634"/>
      <c r="N5" s="634"/>
      <c r="O5" s="634"/>
      <c r="P5" s="634"/>
      <c r="Q5" s="634"/>
      <c r="R5" s="634"/>
    </row>
    <row r="8" spans="1:18" ht="15.5" x14ac:dyDescent="0.35">
      <c r="B8" s="145" t="s">
        <v>98</v>
      </c>
    </row>
    <row r="9" spans="1:18" ht="65.25" customHeight="1" x14ac:dyDescent="0.35">
      <c r="B9" s="642" t="s">
        <v>99</v>
      </c>
      <c r="C9" s="642"/>
      <c r="D9" s="642"/>
      <c r="E9" s="642"/>
      <c r="F9" s="642"/>
      <c r="G9" s="642"/>
      <c r="H9" s="642"/>
      <c r="I9" s="642"/>
      <c r="J9" s="642"/>
      <c r="K9" s="642"/>
      <c r="L9" s="642"/>
    </row>
    <row r="29" spans="2:11" x14ac:dyDescent="0.35">
      <c r="B29" s="634"/>
      <c r="C29" s="634"/>
      <c r="D29" s="634"/>
      <c r="E29" s="634"/>
      <c r="F29" s="634"/>
      <c r="G29" s="634"/>
      <c r="H29" s="634"/>
      <c r="I29" s="634"/>
      <c r="J29" s="634"/>
      <c r="K29" s="634"/>
    </row>
    <row r="30" spans="2:11" x14ac:dyDescent="0.35">
      <c r="B30" t="s">
        <v>175</v>
      </c>
    </row>
    <row r="31" spans="2:11" x14ac:dyDescent="0.35">
      <c r="D31" t="s">
        <v>89</v>
      </c>
      <c r="F31" t="s">
        <v>102</v>
      </c>
      <c r="H31" t="s">
        <v>104</v>
      </c>
    </row>
    <row r="32" spans="2:11" x14ac:dyDescent="0.35">
      <c r="D32" t="s">
        <v>90</v>
      </c>
      <c r="F32" t="s">
        <v>100</v>
      </c>
    </row>
    <row r="33" spans="2:13" x14ac:dyDescent="0.35">
      <c r="D33" t="s">
        <v>91</v>
      </c>
      <c r="F33" t="s">
        <v>101</v>
      </c>
    </row>
    <row r="34" spans="2:13" x14ac:dyDescent="0.35">
      <c r="F34" t="s">
        <v>103</v>
      </c>
    </row>
    <row r="36" spans="2:13" x14ac:dyDescent="0.35">
      <c r="B36" s="634" t="s">
        <v>105</v>
      </c>
      <c r="C36" s="634"/>
      <c r="D36" s="634"/>
      <c r="E36" s="634"/>
      <c r="F36" s="634"/>
      <c r="G36" s="634"/>
      <c r="H36" s="634"/>
      <c r="I36" s="634"/>
      <c r="J36" s="634"/>
      <c r="K36" s="634"/>
      <c r="L36" s="634"/>
      <c r="M36" s="634"/>
    </row>
    <row r="38" spans="2:13" x14ac:dyDescent="0.35">
      <c r="B38" s="634" t="s">
        <v>106</v>
      </c>
      <c r="C38" s="634"/>
      <c r="D38" s="634"/>
      <c r="E38" s="634"/>
      <c r="F38" s="634"/>
      <c r="G38" s="634"/>
      <c r="H38" s="634"/>
      <c r="I38" s="634"/>
      <c r="J38" s="634"/>
      <c r="K38" s="634"/>
      <c r="L38" s="634"/>
      <c r="M38" s="634"/>
    </row>
    <row r="40" spans="2:13" x14ac:dyDescent="0.35">
      <c r="B40" s="634" t="s">
        <v>107</v>
      </c>
      <c r="C40" s="634"/>
      <c r="D40" s="634"/>
      <c r="E40" s="634"/>
      <c r="F40" s="634"/>
      <c r="G40" s="634"/>
      <c r="H40" s="634"/>
      <c r="I40" s="634"/>
      <c r="J40" s="634"/>
      <c r="K40" s="634"/>
      <c r="L40" s="634"/>
      <c r="M40" s="634"/>
    </row>
    <row r="42" spans="2:13" x14ac:dyDescent="0.35">
      <c r="B42" s="634" t="s">
        <v>108</v>
      </c>
      <c r="C42" s="634"/>
      <c r="D42" s="634"/>
      <c r="E42" s="634"/>
      <c r="F42" s="634"/>
      <c r="G42" s="634"/>
      <c r="H42" s="634"/>
      <c r="I42" s="634"/>
      <c r="J42" s="634"/>
    </row>
    <row r="47" spans="2:13" ht="18.5" x14ac:dyDescent="0.45">
      <c r="B47" s="347" t="s">
        <v>388</v>
      </c>
      <c r="C47" s="39"/>
    </row>
    <row r="48" spans="2:13" ht="15" thickBot="1" x14ac:dyDescent="0.4"/>
    <row r="49" spans="1:22" x14ac:dyDescent="0.35">
      <c r="A49" s="349" t="s">
        <v>80</v>
      </c>
      <c r="B49" s="350" t="s">
        <v>388</v>
      </c>
      <c r="C49" s="350"/>
      <c r="D49" s="350"/>
      <c r="E49" s="350"/>
      <c r="F49" s="370"/>
      <c r="G49" s="1"/>
      <c r="H49" s="1"/>
      <c r="K49" s="349" t="s">
        <v>390</v>
      </c>
      <c r="L49" s="350"/>
      <c r="M49" s="350"/>
      <c r="N49" s="350"/>
      <c r="O49" s="370"/>
      <c r="P49" s="356"/>
      <c r="R49" s="352" t="s">
        <v>81</v>
      </c>
      <c r="S49" s="350"/>
      <c r="T49" s="350"/>
      <c r="U49" s="350"/>
      <c r="V49" s="370"/>
    </row>
    <row r="50" spans="1:22" ht="26" x14ac:dyDescent="0.35">
      <c r="A50" s="353" t="s">
        <v>391</v>
      </c>
      <c r="B50" s="141" t="s">
        <v>403</v>
      </c>
      <c r="C50" s="141" t="s">
        <v>82</v>
      </c>
      <c r="D50" s="141" t="s">
        <v>96</v>
      </c>
      <c r="E50" s="141" t="s">
        <v>97</v>
      </c>
      <c r="F50" s="141" t="s">
        <v>79</v>
      </c>
      <c r="K50" s="141" t="s">
        <v>404</v>
      </c>
      <c r="L50" s="141" t="s">
        <v>82</v>
      </c>
      <c r="M50" s="141" t="s">
        <v>96</v>
      </c>
      <c r="N50" s="141" t="s">
        <v>97</v>
      </c>
      <c r="O50" s="141" t="s">
        <v>79</v>
      </c>
      <c r="R50" s="141" t="s">
        <v>405</v>
      </c>
      <c r="S50" s="141" t="s">
        <v>82</v>
      </c>
      <c r="T50" s="141" t="s">
        <v>96</v>
      </c>
      <c r="U50" s="141" t="s">
        <v>97</v>
      </c>
      <c r="V50" s="141" t="s">
        <v>79</v>
      </c>
    </row>
    <row r="51" spans="1:22" x14ac:dyDescent="0.35">
      <c r="B51" s="139" t="s">
        <v>77</v>
      </c>
      <c r="C51" s="138">
        <v>30</v>
      </c>
      <c r="D51" s="138">
        <v>1</v>
      </c>
      <c r="E51" s="138">
        <v>4</v>
      </c>
      <c r="F51" s="138">
        <v>150</v>
      </c>
      <c r="K51" s="139" t="s">
        <v>77</v>
      </c>
      <c r="L51" s="142">
        <v>12</v>
      </c>
      <c r="M51" s="142">
        <v>1</v>
      </c>
      <c r="N51" s="142">
        <v>6</v>
      </c>
      <c r="O51" s="142">
        <v>60</v>
      </c>
      <c r="R51" s="139" t="s">
        <v>77</v>
      </c>
      <c r="S51" s="143">
        <v>2</v>
      </c>
      <c r="T51" s="143">
        <v>2</v>
      </c>
      <c r="U51" s="143">
        <v>5</v>
      </c>
      <c r="V51" s="143">
        <v>50</v>
      </c>
    </row>
    <row r="52" spans="1:22" x14ac:dyDescent="0.35">
      <c r="A52" s="367"/>
      <c r="B52" s="139" t="s">
        <v>389</v>
      </c>
      <c r="C52" s="138">
        <v>30</v>
      </c>
      <c r="D52" s="138">
        <v>1</v>
      </c>
      <c r="E52" s="138">
        <v>4</v>
      </c>
      <c r="F52" s="138">
        <v>150</v>
      </c>
      <c r="K52" s="139" t="s">
        <v>389</v>
      </c>
      <c r="L52" s="142">
        <v>12</v>
      </c>
      <c r="M52" s="142">
        <v>1</v>
      </c>
      <c r="N52" s="142">
        <v>6</v>
      </c>
      <c r="O52" s="142">
        <v>60</v>
      </c>
      <c r="R52" s="139" t="s">
        <v>389</v>
      </c>
      <c r="S52" s="143">
        <v>2</v>
      </c>
      <c r="T52" s="143">
        <v>2</v>
      </c>
      <c r="U52" s="143">
        <v>5</v>
      </c>
      <c r="V52" s="143">
        <v>50</v>
      </c>
    </row>
    <row r="53" spans="1:22" x14ac:dyDescent="0.35">
      <c r="A53" s="367"/>
      <c r="B53" s="139" t="s">
        <v>184</v>
      </c>
      <c r="C53" s="138">
        <v>20</v>
      </c>
      <c r="D53" s="138">
        <v>1</v>
      </c>
      <c r="E53" s="138">
        <v>3</v>
      </c>
      <c r="F53" s="138">
        <v>120</v>
      </c>
      <c r="K53" s="139" t="s">
        <v>184</v>
      </c>
      <c r="L53" s="142">
        <v>10</v>
      </c>
      <c r="M53" s="142">
        <v>1</v>
      </c>
      <c r="N53" s="142">
        <v>3</v>
      </c>
      <c r="O53" s="142">
        <v>48</v>
      </c>
      <c r="R53" s="139" t="s">
        <v>184</v>
      </c>
      <c r="S53" s="143">
        <v>2</v>
      </c>
      <c r="T53" s="143">
        <v>2</v>
      </c>
      <c r="U53" s="143">
        <v>3</v>
      </c>
      <c r="V53" s="143">
        <v>40</v>
      </c>
    </row>
    <row r="54" spans="1:22" x14ac:dyDescent="0.35">
      <c r="A54" s="367"/>
      <c r="B54" s="139" t="s">
        <v>183</v>
      </c>
      <c r="C54" s="138">
        <v>20</v>
      </c>
      <c r="D54" s="138">
        <v>1</v>
      </c>
      <c r="E54" s="138">
        <v>3</v>
      </c>
      <c r="F54" s="138">
        <v>120</v>
      </c>
      <c r="K54" s="139" t="s">
        <v>183</v>
      </c>
      <c r="L54" s="142">
        <v>10</v>
      </c>
      <c r="M54" s="142">
        <v>1</v>
      </c>
      <c r="N54" s="142">
        <v>3</v>
      </c>
      <c r="O54" s="142">
        <v>48</v>
      </c>
      <c r="R54" s="139" t="s">
        <v>183</v>
      </c>
      <c r="S54" s="143">
        <v>2</v>
      </c>
      <c r="T54" s="143">
        <v>2</v>
      </c>
      <c r="U54" s="143">
        <v>3</v>
      </c>
      <c r="V54" s="143">
        <v>40</v>
      </c>
    </row>
    <row r="55" spans="1:22" x14ac:dyDescent="0.35">
      <c r="A55" s="367"/>
      <c r="B55" s="139" t="s">
        <v>94</v>
      </c>
      <c r="C55" s="138">
        <v>5</v>
      </c>
      <c r="D55" s="138">
        <v>1</v>
      </c>
      <c r="E55" s="138">
        <v>4</v>
      </c>
      <c r="F55" s="138">
        <v>90</v>
      </c>
      <c r="K55" s="139" t="s">
        <v>94</v>
      </c>
      <c r="L55" s="142">
        <v>5</v>
      </c>
      <c r="M55" s="142">
        <v>1</v>
      </c>
      <c r="N55" s="142">
        <v>6</v>
      </c>
      <c r="O55" s="142">
        <v>40</v>
      </c>
      <c r="R55" s="139" t="s">
        <v>94</v>
      </c>
      <c r="S55" s="143">
        <v>2</v>
      </c>
      <c r="T55" s="143">
        <v>2</v>
      </c>
      <c r="U55" s="143">
        <v>3</v>
      </c>
      <c r="V55" s="143">
        <v>40</v>
      </c>
    </row>
    <row r="56" spans="1:22" x14ac:dyDescent="0.35">
      <c r="A56" s="367"/>
      <c r="B56" s="139" t="s">
        <v>385</v>
      </c>
      <c r="C56" s="138">
        <v>5</v>
      </c>
      <c r="D56" s="138">
        <v>1</v>
      </c>
      <c r="E56" s="138">
        <v>4</v>
      </c>
      <c r="F56" s="138">
        <v>90</v>
      </c>
      <c r="K56" s="139" t="s">
        <v>385</v>
      </c>
      <c r="L56" s="142">
        <v>10</v>
      </c>
      <c r="M56" s="142">
        <v>1</v>
      </c>
      <c r="N56" s="142">
        <v>3</v>
      </c>
      <c r="O56" s="142">
        <v>48</v>
      </c>
      <c r="R56" s="139" t="s">
        <v>385</v>
      </c>
      <c r="S56" s="143">
        <v>2</v>
      </c>
      <c r="T56" s="143">
        <v>2</v>
      </c>
      <c r="U56" s="143">
        <v>3</v>
      </c>
      <c r="V56" s="143">
        <v>40</v>
      </c>
    </row>
    <row r="57" spans="1:22" x14ac:dyDescent="0.35">
      <c r="A57" s="367"/>
      <c r="B57" s="139" t="s">
        <v>182</v>
      </c>
      <c r="C57" s="138">
        <v>5</v>
      </c>
      <c r="D57" s="138">
        <v>1</v>
      </c>
      <c r="E57" s="138">
        <v>4</v>
      </c>
      <c r="F57" s="138">
        <v>90</v>
      </c>
      <c r="K57" s="139" t="s">
        <v>182</v>
      </c>
      <c r="L57" s="142">
        <v>4</v>
      </c>
      <c r="M57" s="142">
        <v>1</v>
      </c>
      <c r="N57" s="142">
        <v>6</v>
      </c>
      <c r="O57" s="142">
        <v>30</v>
      </c>
      <c r="R57" s="139" t="s">
        <v>182</v>
      </c>
      <c r="S57" s="143">
        <v>2</v>
      </c>
      <c r="T57" s="143">
        <v>2</v>
      </c>
      <c r="U57" s="143">
        <v>3</v>
      </c>
      <c r="V57" s="143">
        <v>15</v>
      </c>
    </row>
    <row r="58" spans="1:22" x14ac:dyDescent="0.35">
      <c r="A58" s="367"/>
      <c r="B58" s="139" t="s">
        <v>373</v>
      </c>
      <c r="C58" s="138">
        <v>5</v>
      </c>
      <c r="D58" s="138">
        <v>1</v>
      </c>
      <c r="E58" s="138">
        <v>3</v>
      </c>
      <c r="F58" s="138">
        <v>90</v>
      </c>
      <c r="K58" s="139" t="s">
        <v>373</v>
      </c>
      <c r="L58" s="142" t="s">
        <v>452</v>
      </c>
      <c r="M58" s="142" t="s">
        <v>452</v>
      </c>
      <c r="N58" s="142" t="s">
        <v>452</v>
      </c>
      <c r="O58" s="142" t="s">
        <v>452</v>
      </c>
      <c r="R58" s="139" t="s">
        <v>373</v>
      </c>
      <c r="S58" s="143" t="s">
        <v>452</v>
      </c>
      <c r="T58" s="143" t="s">
        <v>452</v>
      </c>
      <c r="U58" s="143" t="s">
        <v>452</v>
      </c>
      <c r="V58" s="143" t="s">
        <v>452</v>
      </c>
    </row>
    <row r="59" spans="1:22" x14ac:dyDescent="0.35">
      <c r="A59" s="367"/>
      <c r="B59" s="139" t="s">
        <v>181</v>
      </c>
      <c r="C59" s="138">
        <v>5</v>
      </c>
      <c r="D59" s="138">
        <v>1</v>
      </c>
      <c r="E59" s="138">
        <v>4</v>
      </c>
      <c r="F59" s="138">
        <v>90</v>
      </c>
      <c r="K59" s="139" t="s">
        <v>181</v>
      </c>
      <c r="L59" s="142">
        <v>4</v>
      </c>
      <c r="M59" s="142">
        <v>1</v>
      </c>
      <c r="N59" s="142">
        <v>6</v>
      </c>
      <c r="O59" s="142">
        <v>30</v>
      </c>
      <c r="R59" s="139" t="s">
        <v>181</v>
      </c>
      <c r="S59" s="143">
        <v>2</v>
      </c>
      <c r="T59" s="143">
        <v>2</v>
      </c>
      <c r="U59" s="143">
        <v>3</v>
      </c>
      <c r="V59" s="143">
        <v>15</v>
      </c>
    </row>
    <row r="60" spans="1:22" x14ac:dyDescent="0.35">
      <c r="A60" s="367"/>
      <c r="B60" s="139" t="s">
        <v>86</v>
      </c>
      <c r="C60" s="138">
        <v>3</v>
      </c>
      <c r="D60" s="138">
        <v>1</v>
      </c>
      <c r="E60" s="138">
        <v>4</v>
      </c>
      <c r="F60" s="138">
        <v>30</v>
      </c>
      <c r="K60" s="139" t="s">
        <v>86</v>
      </c>
      <c r="L60" s="142">
        <v>4</v>
      </c>
      <c r="M60" s="142">
        <v>1</v>
      </c>
      <c r="N60" s="142">
        <v>6</v>
      </c>
      <c r="O60" s="142">
        <v>30</v>
      </c>
      <c r="R60" s="139" t="s">
        <v>86</v>
      </c>
      <c r="S60" s="143">
        <v>2</v>
      </c>
      <c r="T60" s="143">
        <v>2</v>
      </c>
      <c r="U60" s="143">
        <v>3</v>
      </c>
      <c r="V60" s="143">
        <v>10</v>
      </c>
    </row>
    <row r="61" spans="1:22" x14ac:dyDescent="0.35">
      <c r="A61" s="367"/>
      <c r="B61" s="139" t="s">
        <v>374</v>
      </c>
      <c r="C61" s="138">
        <v>3</v>
      </c>
      <c r="D61" s="138">
        <v>1</v>
      </c>
      <c r="E61" s="138">
        <v>4</v>
      </c>
      <c r="F61" s="138">
        <v>30</v>
      </c>
      <c r="K61" s="139" t="s">
        <v>374</v>
      </c>
      <c r="L61" s="142">
        <v>3</v>
      </c>
      <c r="M61" s="142">
        <v>1</v>
      </c>
      <c r="N61" s="142">
        <v>4</v>
      </c>
      <c r="O61" s="142">
        <v>30</v>
      </c>
      <c r="R61" s="139" t="s">
        <v>374</v>
      </c>
      <c r="S61" s="143">
        <v>2</v>
      </c>
      <c r="T61" s="143">
        <v>2</v>
      </c>
      <c r="U61" s="143">
        <v>3</v>
      </c>
      <c r="V61" s="143">
        <v>10</v>
      </c>
    </row>
    <row r="62" spans="1:22" x14ac:dyDescent="0.35">
      <c r="A62" s="367"/>
      <c r="B62" s="139" t="s">
        <v>88</v>
      </c>
      <c r="C62" s="138">
        <v>2</v>
      </c>
      <c r="D62" s="138">
        <v>1</v>
      </c>
      <c r="E62" s="138">
        <v>4</v>
      </c>
      <c r="F62" s="138">
        <v>8</v>
      </c>
      <c r="K62" s="139" t="s">
        <v>88</v>
      </c>
      <c r="L62" s="142">
        <v>2</v>
      </c>
      <c r="M62" s="142">
        <v>1</v>
      </c>
      <c r="N62" s="142">
        <v>4</v>
      </c>
      <c r="O62" s="142">
        <v>8</v>
      </c>
      <c r="R62" s="139" t="s">
        <v>88</v>
      </c>
      <c r="S62" s="143">
        <v>1</v>
      </c>
      <c r="T62" s="143">
        <v>2</v>
      </c>
      <c r="U62" s="143">
        <v>1</v>
      </c>
      <c r="V62" s="143">
        <v>5</v>
      </c>
    </row>
    <row r="63" spans="1:22" x14ac:dyDescent="0.35">
      <c r="A63" s="368"/>
      <c r="B63" s="139" t="s">
        <v>423</v>
      </c>
      <c r="C63" s="138">
        <v>2</v>
      </c>
      <c r="D63" s="138">
        <v>1</v>
      </c>
      <c r="E63" s="138">
        <v>4</v>
      </c>
      <c r="F63" s="138">
        <v>8</v>
      </c>
      <c r="K63" s="139" t="s">
        <v>423</v>
      </c>
      <c r="L63" s="142">
        <v>2</v>
      </c>
      <c r="M63" s="142">
        <v>1</v>
      </c>
      <c r="N63" s="142">
        <v>4</v>
      </c>
      <c r="O63" s="142">
        <v>8</v>
      </c>
      <c r="R63" s="139" t="s">
        <v>423</v>
      </c>
      <c r="S63" s="143">
        <v>2</v>
      </c>
      <c r="T63" s="143">
        <v>1</v>
      </c>
      <c r="U63" s="143">
        <v>1</v>
      </c>
      <c r="V63" s="143">
        <v>1</v>
      </c>
    </row>
    <row r="64" spans="1:22" x14ac:dyDescent="0.35">
      <c r="A64" s="356"/>
    </row>
    <row r="65" spans="1:22" x14ac:dyDescent="0.35">
      <c r="A65" s="356"/>
    </row>
    <row r="66" spans="1:22" x14ac:dyDescent="0.35">
      <c r="A66" s="356"/>
    </row>
    <row r="67" spans="1:22" ht="26" x14ac:dyDescent="0.35">
      <c r="A67" s="353" t="s">
        <v>395</v>
      </c>
      <c r="B67" s="141" t="s">
        <v>406</v>
      </c>
      <c r="C67" s="141" t="s">
        <v>82</v>
      </c>
      <c r="D67" s="141" t="s">
        <v>96</v>
      </c>
      <c r="E67" s="141" t="s">
        <v>97</v>
      </c>
      <c r="F67" s="141" t="s">
        <v>79</v>
      </c>
      <c r="K67" s="141" t="s">
        <v>407</v>
      </c>
      <c r="L67" s="141" t="s">
        <v>82</v>
      </c>
      <c r="M67" s="141" t="s">
        <v>96</v>
      </c>
      <c r="N67" s="141" t="s">
        <v>97</v>
      </c>
      <c r="O67" s="141" t="s">
        <v>79</v>
      </c>
      <c r="R67" s="141" t="s">
        <v>408</v>
      </c>
      <c r="S67" s="141" t="s">
        <v>82</v>
      </c>
      <c r="T67" s="141" t="s">
        <v>96</v>
      </c>
      <c r="U67" s="141" t="s">
        <v>97</v>
      </c>
      <c r="V67" s="141" t="s">
        <v>79</v>
      </c>
    </row>
    <row r="68" spans="1:22" x14ac:dyDescent="0.35">
      <c r="A68" s="356"/>
      <c r="B68" s="139" t="s">
        <v>77</v>
      </c>
      <c r="C68" s="138">
        <v>20</v>
      </c>
      <c r="D68" s="138" t="s">
        <v>452</v>
      </c>
      <c r="E68" s="138">
        <v>3</v>
      </c>
      <c r="F68" s="138">
        <v>120</v>
      </c>
      <c r="K68" s="139" t="s">
        <v>77</v>
      </c>
      <c r="L68" s="142">
        <v>10</v>
      </c>
      <c r="M68" s="142" t="s">
        <v>452</v>
      </c>
      <c r="N68" s="142">
        <v>4</v>
      </c>
      <c r="O68" s="142">
        <v>50</v>
      </c>
      <c r="R68" s="139" t="s">
        <v>77</v>
      </c>
      <c r="S68" s="143">
        <v>1</v>
      </c>
      <c r="T68" s="143">
        <v>1</v>
      </c>
      <c r="U68" s="143">
        <v>3</v>
      </c>
      <c r="V68" s="143">
        <v>40</v>
      </c>
    </row>
    <row r="69" spans="1:22" x14ac:dyDescent="0.35">
      <c r="A69" s="356"/>
      <c r="B69" s="139" t="s">
        <v>389</v>
      </c>
      <c r="C69" s="138">
        <v>20</v>
      </c>
      <c r="D69" s="138" t="s">
        <v>452</v>
      </c>
      <c r="E69" s="138">
        <v>3</v>
      </c>
      <c r="F69" s="138">
        <v>120</v>
      </c>
      <c r="K69" s="139" t="s">
        <v>389</v>
      </c>
      <c r="L69" s="142">
        <v>10</v>
      </c>
      <c r="M69" s="142" t="s">
        <v>452</v>
      </c>
      <c r="N69" s="142">
        <v>4</v>
      </c>
      <c r="O69" s="142">
        <v>50</v>
      </c>
      <c r="R69" s="139" t="s">
        <v>389</v>
      </c>
      <c r="S69" s="143">
        <v>1</v>
      </c>
      <c r="T69" s="143">
        <v>1</v>
      </c>
      <c r="U69" s="143">
        <v>3</v>
      </c>
      <c r="V69" s="143">
        <v>40</v>
      </c>
    </row>
    <row r="70" spans="1:22" x14ac:dyDescent="0.35">
      <c r="A70" s="356"/>
      <c r="B70" s="139" t="s">
        <v>184</v>
      </c>
      <c r="C70" s="138">
        <v>15</v>
      </c>
      <c r="D70" s="138" t="s">
        <v>452</v>
      </c>
      <c r="E70" s="138">
        <v>2</v>
      </c>
      <c r="F70" s="138">
        <v>90</v>
      </c>
      <c r="K70" s="139" t="s">
        <v>184</v>
      </c>
      <c r="L70" s="142">
        <v>8</v>
      </c>
      <c r="M70" s="142" t="s">
        <v>452</v>
      </c>
      <c r="N70" s="142">
        <v>2</v>
      </c>
      <c r="O70" s="142">
        <v>40</v>
      </c>
      <c r="R70" s="139" t="s">
        <v>184</v>
      </c>
      <c r="S70" s="143">
        <v>1</v>
      </c>
      <c r="T70" s="143">
        <v>1</v>
      </c>
      <c r="U70" s="143">
        <v>2</v>
      </c>
      <c r="V70" s="143">
        <v>30</v>
      </c>
    </row>
    <row r="71" spans="1:22" x14ac:dyDescent="0.35">
      <c r="A71" s="356"/>
      <c r="B71" s="139" t="s">
        <v>183</v>
      </c>
      <c r="C71" s="138">
        <v>15</v>
      </c>
      <c r="D71" s="138" t="s">
        <v>452</v>
      </c>
      <c r="E71" s="138">
        <v>2</v>
      </c>
      <c r="F71" s="138">
        <v>90</v>
      </c>
      <c r="K71" s="139" t="s">
        <v>183</v>
      </c>
      <c r="L71" s="142">
        <v>8</v>
      </c>
      <c r="M71" s="142" t="s">
        <v>452</v>
      </c>
      <c r="N71" s="142">
        <v>2</v>
      </c>
      <c r="O71" s="142">
        <v>40</v>
      </c>
      <c r="R71" s="139" t="s">
        <v>183</v>
      </c>
      <c r="S71" s="143">
        <v>1</v>
      </c>
      <c r="T71" s="143">
        <v>1</v>
      </c>
      <c r="U71" s="143">
        <v>2</v>
      </c>
      <c r="V71" s="143">
        <v>30</v>
      </c>
    </row>
    <row r="72" spans="1:22" x14ac:dyDescent="0.35">
      <c r="A72" s="356"/>
      <c r="B72" s="139" t="s">
        <v>94</v>
      </c>
      <c r="C72" s="138">
        <v>4</v>
      </c>
      <c r="D72" s="138" t="s">
        <v>452</v>
      </c>
      <c r="E72" s="138">
        <v>3</v>
      </c>
      <c r="F72" s="138">
        <v>70</v>
      </c>
      <c r="K72" s="139" t="s">
        <v>94</v>
      </c>
      <c r="L72" s="142">
        <v>4</v>
      </c>
      <c r="M72" s="142" t="s">
        <v>452</v>
      </c>
      <c r="N72" s="142">
        <v>2</v>
      </c>
      <c r="O72" s="142">
        <v>35</v>
      </c>
      <c r="R72" s="139" t="s">
        <v>94</v>
      </c>
      <c r="S72" s="143">
        <v>1</v>
      </c>
      <c r="T72" s="143">
        <v>1</v>
      </c>
      <c r="U72" s="143">
        <v>2</v>
      </c>
      <c r="V72" s="143">
        <v>30</v>
      </c>
    </row>
    <row r="73" spans="1:22" x14ac:dyDescent="0.35">
      <c r="A73" s="356"/>
      <c r="B73" s="139" t="s">
        <v>385</v>
      </c>
      <c r="C73" s="138">
        <v>4</v>
      </c>
      <c r="D73" s="138" t="s">
        <v>452</v>
      </c>
      <c r="E73" s="138">
        <v>3</v>
      </c>
      <c r="F73" s="138">
        <v>70</v>
      </c>
      <c r="K73" s="139" t="s">
        <v>385</v>
      </c>
      <c r="L73" s="142">
        <v>8</v>
      </c>
      <c r="M73" s="142" t="s">
        <v>452</v>
      </c>
      <c r="N73" s="142">
        <v>2</v>
      </c>
      <c r="O73" s="142">
        <v>40</v>
      </c>
      <c r="R73" s="139" t="s">
        <v>385</v>
      </c>
      <c r="S73" s="143">
        <v>1</v>
      </c>
      <c r="T73" s="143">
        <v>1</v>
      </c>
      <c r="U73" s="143">
        <v>2</v>
      </c>
      <c r="V73" s="143">
        <v>30</v>
      </c>
    </row>
    <row r="74" spans="1:22" x14ac:dyDescent="0.35">
      <c r="A74" s="356"/>
      <c r="B74" s="139" t="s">
        <v>182</v>
      </c>
      <c r="C74" s="138">
        <v>4</v>
      </c>
      <c r="D74" s="138" t="s">
        <v>452</v>
      </c>
      <c r="E74" s="138">
        <v>3</v>
      </c>
      <c r="F74" s="138">
        <v>70</v>
      </c>
      <c r="K74" s="139" t="s">
        <v>182</v>
      </c>
      <c r="L74" s="142">
        <v>3</v>
      </c>
      <c r="M74" s="142" t="s">
        <v>452</v>
      </c>
      <c r="N74" s="142">
        <v>4</v>
      </c>
      <c r="O74" s="142">
        <v>25</v>
      </c>
      <c r="R74" s="139" t="s">
        <v>182</v>
      </c>
      <c r="S74" s="143">
        <v>1</v>
      </c>
      <c r="T74" s="143">
        <v>1</v>
      </c>
      <c r="U74" s="143">
        <v>2</v>
      </c>
      <c r="V74" s="143">
        <v>10</v>
      </c>
    </row>
    <row r="75" spans="1:22" x14ac:dyDescent="0.35">
      <c r="A75" s="356"/>
      <c r="B75" s="139" t="s">
        <v>373</v>
      </c>
      <c r="C75" s="138">
        <v>4</v>
      </c>
      <c r="D75" s="138" t="s">
        <v>452</v>
      </c>
      <c r="E75" s="138">
        <v>2</v>
      </c>
      <c r="F75" s="138">
        <v>70</v>
      </c>
      <c r="K75" s="139" t="s">
        <v>373</v>
      </c>
      <c r="L75" s="142" t="s">
        <v>452</v>
      </c>
      <c r="M75" s="142" t="s">
        <v>452</v>
      </c>
      <c r="N75" s="142" t="s">
        <v>452</v>
      </c>
      <c r="O75" s="142" t="s">
        <v>452</v>
      </c>
      <c r="R75" s="139" t="s">
        <v>373</v>
      </c>
      <c r="S75" s="143" t="s">
        <v>452</v>
      </c>
      <c r="T75" s="143" t="s">
        <v>452</v>
      </c>
      <c r="U75" s="143" t="s">
        <v>452</v>
      </c>
      <c r="V75" s="143" t="s">
        <v>452</v>
      </c>
    </row>
    <row r="76" spans="1:22" x14ac:dyDescent="0.35">
      <c r="A76" s="1"/>
      <c r="B76" s="139" t="s">
        <v>181</v>
      </c>
      <c r="C76" s="138">
        <v>4</v>
      </c>
      <c r="D76" s="138" t="s">
        <v>452</v>
      </c>
      <c r="E76" s="138">
        <v>3</v>
      </c>
      <c r="F76" s="138">
        <v>70</v>
      </c>
      <c r="K76" s="139" t="s">
        <v>181</v>
      </c>
      <c r="L76" s="142">
        <v>3</v>
      </c>
      <c r="M76" s="142" t="s">
        <v>452</v>
      </c>
      <c r="N76" s="142">
        <v>4</v>
      </c>
      <c r="O76" s="142">
        <v>25</v>
      </c>
      <c r="R76" s="139" t="s">
        <v>181</v>
      </c>
      <c r="S76" s="143">
        <v>1</v>
      </c>
      <c r="T76" s="143">
        <v>1</v>
      </c>
      <c r="U76" s="143">
        <v>2</v>
      </c>
      <c r="V76" s="143">
        <v>10</v>
      </c>
    </row>
    <row r="77" spans="1:22" x14ac:dyDescent="0.35">
      <c r="A77" s="356"/>
      <c r="B77" s="139" t="s">
        <v>86</v>
      </c>
      <c r="C77" s="138">
        <v>2</v>
      </c>
      <c r="D77" s="138" t="s">
        <v>452</v>
      </c>
      <c r="E77" s="138">
        <v>2</v>
      </c>
      <c r="F77" s="138">
        <v>25</v>
      </c>
      <c r="K77" s="139" t="s">
        <v>86</v>
      </c>
      <c r="L77" s="142">
        <v>3</v>
      </c>
      <c r="M77" s="142" t="s">
        <v>452</v>
      </c>
      <c r="N77" s="142">
        <v>4</v>
      </c>
      <c r="O77" s="142">
        <v>25</v>
      </c>
      <c r="R77" s="139" t="s">
        <v>86</v>
      </c>
      <c r="S77" s="143">
        <v>1</v>
      </c>
      <c r="T77" s="143">
        <v>1</v>
      </c>
      <c r="U77" s="143">
        <v>2</v>
      </c>
      <c r="V77" s="143">
        <v>7</v>
      </c>
    </row>
    <row r="78" spans="1:22" x14ac:dyDescent="0.35">
      <c r="A78" s="356"/>
      <c r="B78" s="139" t="s">
        <v>374</v>
      </c>
      <c r="C78" s="138">
        <v>2</v>
      </c>
      <c r="D78" s="138" t="s">
        <v>452</v>
      </c>
      <c r="E78" s="138">
        <v>2</v>
      </c>
      <c r="F78" s="138">
        <v>25</v>
      </c>
      <c r="K78" s="139" t="s">
        <v>374</v>
      </c>
      <c r="L78" s="142">
        <v>2</v>
      </c>
      <c r="M78" s="142" t="s">
        <v>452</v>
      </c>
      <c r="N78" s="142">
        <v>2</v>
      </c>
      <c r="O78" s="142">
        <v>25</v>
      </c>
      <c r="R78" s="139" t="s">
        <v>374</v>
      </c>
      <c r="S78" s="143">
        <v>1</v>
      </c>
      <c r="T78" s="143">
        <v>1</v>
      </c>
      <c r="U78" s="143">
        <v>2</v>
      </c>
      <c r="V78" s="143">
        <v>7</v>
      </c>
    </row>
    <row r="79" spans="1:22" x14ac:dyDescent="0.35">
      <c r="A79" s="356"/>
      <c r="B79" s="139" t="s">
        <v>88</v>
      </c>
      <c r="C79" s="138">
        <v>1</v>
      </c>
      <c r="D79" s="138" t="s">
        <v>452</v>
      </c>
      <c r="E79" s="138">
        <v>2</v>
      </c>
      <c r="F79" s="138">
        <v>6</v>
      </c>
      <c r="K79" s="139" t="s">
        <v>88</v>
      </c>
      <c r="L79" s="142">
        <v>1</v>
      </c>
      <c r="M79" s="142" t="s">
        <v>452</v>
      </c>
      <c r="N79" s="142">
        <v>2</v>
      </c>
      <c r="O79" s="142">
        <v>6</v>
      </c>
      <c r="R79" s="139" t="s">
        <v>88</v>
      </c>
      <c r="S79" s="143" t="s">
        <v>452</v>
      </c>
      <c r="T79" s="143">
        <v>1</v>
      </c>
      <c r="U79" s="143" t="s">
        <v>452</v>
      </c>
      <c r="V79" s="143">
        <v>4</v>
      </c>
    </row>
    <row r="80" spans="1:22" x14ac:dyDescent="0.35">
      <c r="A80" s="369"/>
      <c r="B80" s="139" t="s">
        <v>423</v>
      </c>
      <c r="C80" s="138">
        <v>1</v>
      </c>
      <c r="D80" s="138" t="s">
        <v>452</v>
      </c>
      <c r="E80" s="138">
        <v>2</v>
      </c>
      <c r="F80" s="138">
        <v>6</v>
      </c>
      <c r="K80" s="139" t="s">
        <v>423</v>
      </c>
      <c r="L80" s="142">
        <v>1</v>
      </c>
      <c r="M80" s="142" t="s">
        <v>452</v>
      </c>
      <c r="N80" s="142">
        <v>2</v>
      </c>
      <c r="O80" s="142">
        <v>6</v>
      </c>
      <c r="R80" s="139" t="s">
        <v>423</v>
      </c>
      <c r="S80" s="143">
        <v>1</v>
      </c>
      <c r="T80" s="143" t="s">
        <v>452</v>
      </c>
      <c r="U80" s="143" t="s">
        <v>452</v>
      </c>
      <c r="V80" s="143" t="s">
        <v>452</v>
      </c>
    </row>
    <row r="81" spans="1:22" x14ac:dyDescent="0.35">
      <c r="A81" s="356"/>
    </row>
    <row r="82" spans="1:22" x14ac:dyDescent="0.35">
      <c r="A82" s="356"/>
    </row>
    <row r="83" spans="1:22" x14ac:dyDescent="0.35">
      <c r="A83" s="356"/>
    </row>
    <row r="84" spans="1:22" ht="26" x14ac:dyDescent="0.35">
      <c r="A84" s="353" t="s">
        <v>399</v>
      </c>
      <c r="B84" s="141" t="s">
        <v>409</v>
      </c>
      <c r="C84" s="141" t="s">
        <v>82</v>
      </c>
      <c r="D84" s="141" t="s">
        <v>96</v>
      </c>
      <c r="E84" s="141" t="s">
        <v>97</v>
      </c>
      <c r="F84" s="141" t="s">
        <v>79</v>
      </c>
      <c r="K84" s="141" t="s">
        <v>410</v>
      </c>
      <c r="L84" s="141" t="s">
        <v>82</v>
      </c>
      <c r="M84" s="141" t="s">
        <v>96</v>
      </c>
      <c r="N84" s="141" t="s">
        <v>97</v>
      </c>
      <c r="O84" s="141" t="s">
        <v>79</v>
      </c>
      <c r="R84" s="141" t="s">
        <v>411</v>
      </c>
      <c r="S84" s="141" t="s">
        <v>82</v>
      </c>
      <c r="T84" s="141" t="s">
        <v>96</v>
      </c>
      <c r="U84" s="141" t="s">
        <v>97</v>
      </c>
      <c r="V84" s="141" t="s">
        <v>79</v>
      </c>
    </row>
    <row r="85" spans="1:22" x14ac:dyDescent="0.35">
      <c r="A85" s="356"/>
      <c r="B85" s="139" t="s">
        <v>77</v>
      </c>
      <c r="C85" s="138">
        <v>15</v>
      </c>
      <c r="D85" s="138" t="s">
        <v>452</v>
      </c>
      <c r="E85" s="138">
        <v>2</v>
      </c>
      <c r="F85" s="138">
        <v>90</v>
      </c>
      <c r="K85" s="139" t="s">
        <v>77</v>
      </c>
      <c r="L85" s="142">
        <v>8</v>
      </c>
      <c r="M85" s="142" t="s">
        <v>452</v>
      </c>
      <c r="N85" s="142">
        <v>2</v>
      </c>
      <c r="O85" s="142">
        <v>40</v>
      </c>
      <c r="R85" s="139" t="s">
        <v>77</v>
      </c>
      <c r="S85" s="143" t="s">
        <v>452</v>
      </c>
      <c r="T85" s="143" t="s">
        <v>452</v>
      </c>
      <c r="U85" s="143">
        <v>1</v>
      </c>
      <c r="V85" s="143">
        <v>30</v>
      </c>
    </row>
    <row r="86" spans="1:22" x14ac:dyDescent="0.35">
      <c r="A86" s="356"/>
      <c r="B86" s="139" t="s">
        <v>389</v>
      </c>
      <c r="C86" s="138">
        <v>15</v>
      </c>
      <c r="D86" s="138" t="s">
        <v>452</v>
      </c>
      <c r="E86" s="138">
        <v>2</v>
      </c>
      <c r="F86" s="138">
        <v>90</v>
      </c>
      <c r="K86" s="139" t="s">
        <v>389</v>
      </c>
      <c r="L86" s="142">
        <v>8</v>
      </c>
      <c r="M86" s="142" t="s">
        <v>452</v>
      </c>
      <c r="N86" s="142">
        <v>2</v>
      </c>
      <c r="O86" s="142">
        <v>40</v>
      </c>
      <c r="R86" s="139" t="s">
        <v>389</v>
      </c>
      <c r="S86" s="143" t="s">
        <v>452</v>
      </c>
      <c r="T86" s="143" t="s">
        <v>452</v>
      </c>
      <c r="U86" s="143">
        <v>1</v>
      </c>
      <c r="V86" s="143">
        <v>30</v>
      </c>
    </row>
    <row r="87" spans="1:22" x14ac:dyDescent="0.35">
      <c r="A87" s="356"/>
      <c r="B87" s="139" t="s">
        <v>184</v>
      </c>
      <c r="C87" s="138">
        <v>10</v>
      </c>
      <c r="D87" s="138" t="s">
        <v>452</v>
      </c>
      <c r="E87" s="138">
        <v>1</v>
      </c>
      <c r="F87" s="138">
        <v>70</v>
      </c>
      <c r="K87" s="139" t="s">
        <v>184</v>
      </c>
      <c r="L87" s="142">
        <v>6</v>
      </c>
      <c r="M87" s="142" t="s">
        <v>452</v>
      </c>
      <c r="N87" s="142">
        <v>1</v>
      </c>
      <c r="O87" s="142">
        <v>30</v>
      </c>
      <c r="R87" s="139" t="s">
        <v>184</v>
      </c>
      <c r="S87" s="143" t="s">
        <v>452</v>
      </c>
      <c r="T87" s="143" t="s">
        <v>452</v>
      </c>
      <c r="U87" s="143">
        <v>1</v>
      </c>
      <c r="V87" s="143">
        <v>20</v>
      </c>
    </row>
    <row r="88" spans="1:22" x14ac:dyDescent="0.35">
      <c r="A88" s="356"/>
      <c r="B88" s="139" t="s">
        <v>183</v>
      </c>
      <c r="C88" s="138">
        <v>10</v>
      </c>
      <c r="D88" s="138" t="s">
        <v>452</v>
      </c>
      <c r="E88" s="138">
        <v>1</v>
      </c>
      <c r="F88" s="138">
        <v>70</v>
      </c>
      <c r="K88" s="139" t="s">
        <v>183</v>
      </c>
      <c r="L88" s="142">
        <v>6</v>
      </c>
      <c r="M88" s="142" t="s">
        <v>452</v>
      </c>
      <c r="N88" s="142">
        <v>1</v>
      </c>
      <c r="O88" s="142">
        <v>30</v>
      </c>
      <c r="R88" s="139" t="s">
        <v>183</v>
      </c>
      <c r="S88" s="143" t="s">
        <v>452</v>
      </c>
      <c r="T88" s="143" t="s">
        <v>452</v>
      </c>
      <c r="U88" s="143">
        <v>1</v>
      </c>
      <c r="V88" s="143">
        <v>20</v>
      </c>
    </row>
    <row r="89" spans="1:22" x14ac:dyDescent="0.35">
      <c r="A89" s="356"/>
      <c r="B89" s="139" t="s">
        <v>94</v>
      </c>
      <c r="C89" s="138">
        <v>3</v>
      </c>
      <c r="D89" s="138" t="s">
        <v>452</v>
      </c>
      <c r="E89" s="138">
        <v>1</v>
      </c>
      <c r="F89" s="138">
        <v>50</v>
      </c>
      <c r="K89" s="139" t="s">
        <v>94</v>
      </c>
      <c r="L89" s="142">
        <v>3</v>
      </c>
      <c r="M89" s="142" t="s">
        <v>452</v>
      </c>
      <c r="N89" s="142">
        <v>1</v>
      </c>
      <c r="O89" s="142">
        <v>30</v>
      </c>
      <c r="R89" s="139" t="s">
        <v>94</v>
      </c>
      <c r="S89" s="143" t="s">
        <v>452</v>
      </c>
      <c r="T89" s="143" t="s">
        <v>452</v>
      </c>
      <c r="U89" s="143">
        <v>1</v>
      </c>
      <c r="V89" s="143">
        <v>20</v>
      </c>
    </row>
    <row r="90" spans="1:22" x14ac:dyDescent="0.35">
      <c r="A90" s="356"/>
      <c r="B90" s="139" t="s">
        <v>385</v>
      </c>
      <c r="C90" s="138">
        <v>3</v>
      </c>
      <c r="D90" s="138" t="s">
        <v>452</v>
      </c>
      <c r="E90" s="138">
        <v>1</v>
      </c>
      <c r="F90" s="138">
        <v>50</v>
      </c>
      <c r="K90" s="139" t="s">
        <v>385</v>
      </c>
      <c r="L90" s="142">
        <v>6</v>
      </c>
      <c r="M90" s="142" t="s">
        <v>452</v>
      </c>
      <c r="N90" s="142">
        <v>1</v>
      </c>
      <c r="O90" s="142">
        <v>30</v>
      </c>
      <c r="R90" s="139" t="s">
        <v>385</v>
      </c>
      <c r="S90" s="143" t="s">
        <v>452</v>
      </c>
      <c r="T90" s="143" t="s">
        <v>452</v>
      </c>
      <c r="U90" s="143">
        <v>1</v>
      </c>
      <c r="V90" s="143">
        <v>20</v>
      </c>
    </row>
    <row r="91" spans="1:22" x14ac:dyDescent="0.35">
      <c r="A91" s="356"/>
      <c r="B91" s="139" t="s">
        <v>182</v>
      </c>
      <c r="C91" s="138">
        <v>3</v>
      </c>
      <c r="D91" s="138" t="s">
        <v>452</v>
      </c>
      <c r="E91" s="138">
        <v>1</v>
      </c>
      <c r="F91" s="138">
        <v>50</v>
      </c>
      <c r="K91" s="139" t="s">
        <v>182</v>
      </c>
      <c r="L91" s="142">
        <v>2</v>
      </c>
      <c r="M91" s="142" t="s">
        <v>452</v>
      </c>
      <c r="N91" s="142">
        <v>1</v>
      </c>
      <c r="O91" s="142">
        <v>20</v>
      </c>
      <c r="R91" s="139" t="s">
        <v>182</v>
      </c>
      <c r="S91" s="143" t="s">
        <v>452</v>
      </c>
      <c r="T91" s="143" t="s">
        <v>452</v>
      </c>
      <c r="U91" s="143">
        <v>1</v>
      </c>
      <c r="V91" s="143">
        <v>5</v>
      </c>
    </row>
    <row r="92" spans="1:22" x14ac:dyDescent="0.35">
      <c r="A92" s="356"/>
      <c r="B92" s="139" t="s">
        <v>373</v>
      </c>
      <c r="C92" s="138">
        <v>3</v>
      </c>
      <c r="D92" s="138" t="s">
        <v>452</v>
      </c>
      <c r="E92" s="138">
        <v>1</v>
      </c>
      <c r="F92" s="138">
        <v>50</v>
      </c>
      <c r="K92" s="139" t="s">
        <v>373</v>
      </c>
      <c r="L92" s="142" t="s">
        <v>452</v>
      </c>
      <c r="M92" s="142" t="s">
        <v>452</v>
      </c>
      <c r="N92" s="142" t="s">
        <v>452</v>
      </c>
      <c r="O92" s="142" t="s">
        <v>452</v>
      </c>
      <c r="R92" s="139" t="s">
        <v>373</v>
      </c>
      <c r="S92" s="143" t="s">
        <v>452</v>
      </c>
      <c r="T92" s="143" t="s">
        <v>452</v>
      </c>
      <c r="U92" s="143" t="s">
        <v>452</v>
      </c>
      <c r="V92" s="143" t="s">
        <v>452</v>
      </c>
    </row>
    <row r="93" spans="1:22" x14ac:dyDescent="0.35">
      <c r="A93" s="357"/>
      <c r="B93" s="139" t="s">
        <v>181</v>
      </c>
      <c r="C93" s="138">
        <v>3</v>
      </c>
      <c r="D93" s="138" t="s">
        <v>452</v>
      </c>
      <c r="E93" s="138">
        <v>1</v>
      </c>
      <c r="F93" s="138">
        <v>50</v>
      </c>
      <c r="K93" s="139" t="s">
        <v>181</v>
      </c>
      <c r="L93" s="142">
        <v>2</v>
      </c>
      <c r="M93" s="142" t="s">
        <v>452</v>
      </c>
      <c r="N93" s="142">
        <v>1</v>
      </c>
      <c r="O93" s="142">
        <v>20</v>
      </c>
      <c r="R93" s="139" t="s">
        <v>181</v>
      </c>
      <c r="S93" s="143" t="s">
        <v>452</v>
      </c>
      <c r="T93" s="143" t="s">
        <v>452</v>
      </c>
      <c r="U93" s="143">
        <v>1</v>
      </c>
      <c r="V93" s="143">
        <v>5</v>
      </c>
    </row>
    <row r="94" spans="1:22" x14ac:dyDescent="0.35">
      <c r="A94" s="1"/>
      <c r="B94" s="139" t="s">
        <v>86</v>
      </c>
      <c r="C94" s="138">
        <v>1</v>
      </c>
      <c r="D94" s="138" t="s">
        <v>452</v>
      </c>
      <c r="E94" s="138">
        <v>1</v>
      </c>
      <c r="F94" s="138">
        <v>20</v>
      </c>
      <c r="K94" s="139" t="s">
        <v>86</v>
      </c>
      <c r="L94" s="142">
        <v>2</v>
      </c>
      <c r="M94" s="142" t="s">
        <v>452</v>
      </c>
      <c r="N94" s="142">
        <v>1</v>
      </c>
      <c r="O94" s="142">
        <v>20</v>
      </c>
      <c r="R94" s="139" t="s">
        <v>86</v>
      </c>
      <c r="S94" s="143" t="s">
        <v>452</v>
      </c>
      <c r="T94" s="143" t="s">
        <v>452</v>
      </c>
      <c r="U94" s="143">
        <v>1</v>
      </c>
      <c r="V94" s="143">
        <v>3</v>
      </c>
    </row>
    <row r="95" spans="1:22" x14ac:dyDescent="0.35">
      <c r="B95" s="139" t="s">
        <v>374</v>
      </c>
      <c r="C95" s="138">
        <v>1</v>
      </c>
      <c r="D95" s="138" t="s">
        <v>452</v>
      </c>
      <c r="E95" s="138">
        <v>1</v>
      </c>
      <c r="F95" s="138">
        <v>20</v>
      </c>
      <c r="K95" s="139" t="s">
        <v>374</v>
      </c>
      <c r="L95" s="142">
        <v>1</v>
      </c>
      <c r="M95" s="142" t="s">
        <v>452</v>
      </c>
      <c r="N95" s="142">
        <v>1</v>
      </c>
      <c r="O95" s="142">
        <v>20</v>
      </c>
      <c r="R95" s="139" t="s">
        <v>374</v>
      </c>
      <c r="S95" s="143" t="s">
        <v>452</v>
      </c>
      <c r="T95" s="143" t="s">
        <v>452</v>
      </c>
      <c r="U95" s="143">
        <v>1</v>
      </c>
      <c r="V95" s="143">
        <v>3</v>
      </c>
    </row>
    <row r="96" spans="1:22" x14ac:dyDescent="0.35">
      <c r="B96" s="139" t="s">
        <v>88</v>
      </c>
      <c r="C96" s="138" t="s">
        <v>452</v>
      </c>
      <c r="D96" s="138" t="s">
        <v>452</v>
      </c>
      <c r="E96" s="138">
        <v>1</v>
      </c>
      <c r="F96" s="138">
        <v>4</v>
      </c>
      <c r="K96" s="139" t="s">
        <v>88</v>
      </c>
      <c r="L96" s="142" t="s">
        <v>452</v>
      </c>
      <c r="M96" s="142" t="s">
        <v>452</v>
      </c>
      <c r="N96" s="142">
        <v>1</v>
      </c>
      <c r="O96" s="142">
        <v>4</v>
      </c>
      <c r="R96" s="139" t="s">
        <v>88</v>
      </c>
      <c r="S96" s="143" t="s">
        <v>452</v>
      </c>
      <c r="T96" s="143" t="s">
        <v>452</v>
      </c>
      <c r="U96" s="143" t="s">
        <v>452</v>
      </c>
      <c r="V96" s="143">
        <v>2</v>
      </c>
    </row>
    <row r="97" spans="1:22" x14ac:dyDescent="0.35">
      <c r="A97" s="358"/>
      <c r="B97" s="139" t="s">
        <v>423</v>
      </c>
      <c r="C97" s="138">
        <v>1</v>
      </c>
      <c r="D97" s="138" t="s">
        <v>452</v>
      </c>
      <c r="E97" s="138">
        <v>1</v>
      </c>
      <c r="F97" s="138">
        <v>4</v>
      </c>
      <c r="K97" s="139" t="s">
        <v>423</v>
      </c>
      <c r="L97" s="142" t="s">
        <v>452</v>
      </c>
      <c r="M97" s="142" t="s">
        <v>452</v>
      </c>
      <c r="N97" s="142">
        <v>1</v>
      </c>
      <c r="O97" s="142">
        <v>4</v>
      </c>
      <c r="R97" s="139" t="s">
        <v>423</v>
      </c>
      <c r="S97" s="143" t="s">
        <v>452</v>
      </c>
      <c r="T97" s="143" t="s">
        <v>452</v>
      </c>
      <c r="U97" s="143" t="s">
        <v>452</v>
      </c>
      <c r="V97" s="143" t="s">
        <v>452</v>
      </c>
    </row>
  </sheetData>
  <sheetProtection selectLockedCells="1" selectUnlockedCells="1"/>
  <mergeCells count="7">
    <mergeCell ref="A1:R5"/>
    <mergeCell ref="B42:J42"/>
    <mergeCell ref="B9:L9"/>
    <mergeCell ref="B29:K29"/>
    <mergeCell ref="B36:M36"/>
    <mergeCell ref="B38:M38"/>
    <mergeCell ref="B40:M40"/>
  </mergeCells>
  <printOptions gridLines="1"/>
  <pageMargins left="0.25" right="0.25" top="0.5" bottom="0.5" header="0.3" footer="0.3"/>
  <pageSetup scale="29" orientation="landscape" r:id="rId1"/>
  <headerFooter>
    <oddHeader>&amp;F</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2:M112"/>
  <sheetViews>
    <sheetView zoomScaleNormal="100" workbookViewId="0"/>
  </sheetViews>
  <sheetFormatPr defaultRowHeight="12.5" x14ac:dyDescent="0.25"/>
  <cols>
    <col min="1" max="1" width="69.54296875" style="17" bestFit="1" customWidth="1"/>
    <col min="2" max="2" width="28.81640625" style="337" bestFit="1" customWidth="1"/>
    <col min="3" max="3" width="12.7265625" style="337" customWidth="1"/>
    <col min="4" max="7" width="8.7265625" style="337" customWidth="1"/>
    <col min="8" max="8" width="11.453125" style="337" customWidth="1"/>
    <col min="9" max="10" width="8.7265625" style="337" customWidth="1"/>
    <col min="11" max="12" width="13.1796875" style="337" customWidth="1"/>
    <col min="13" max="13" width="24" style="337" bestFit="1" customWidth="1"/>
    <col min="14" max="15" width="9.1796875" style="17"/>
    <col min="16" max="16" width="54.54296875" style="17" bestFit="1" customWidth="1"/>
    <col min="17" max="256" width="9.1796875" style="17"/>
    <col min="257" max="257" width="69.54296875" style="17" bestFit="1" customWidth="1"/>
    <col min="258" max="258" width="11.26953125" style="17" customWidth="1"/>
    <col min="259" max="259" width="12.7265625" style="17" customWidth="1"/>
    <col min="260" max="263" width="8.7265625" style="17" customWidth="1"/>
    <col min="264" max="264" width="11.453125" style="17" customWidth="1"/>
    <col min="265" max="266" width="8.7265625" style="17" customWidth="1"/>
    <col min="267" max="269" width="13.1796875" style="17" customWidth="1"/>
    <col min="270" max="271" width="9.1796875" style="17"/>
    <col min="272" max="272" width="54.54296875" style="17" bestFit="1" customWidth="1"/>
    <col min="273" max="512" width="9.1796875" style="17"/>
    <col min="513" max="513" width="69.54296875" style="17" bestFit="1" customWidth="1"/>
    <col min="514" max="514" width="11.26953125" style="17" customWidth="1"/>
    <col min="515" max="515" width="12.7265625" style="17" customWidth="1"/>
    <col min="516" max="519" width="8.7265625" style="17" customWidth="1"/>
    <col min="520" max="520" width="11.453125" style="17" customWidth="1"/>
    <col min="521" max="522" width="8.7265625" style="17" customWidth="1"/>
    <col min="523" max="525" width="13.1796875" style="17" customWidth="1"/>
    <col min="526" max="527" width="9.1796875" style="17"/>
    <col min="528" max="528" width="54.54296875" style="17" bestFit="1" customWidth="1"/>
    <col min="529" max="768" width="9.1796875" style="17"/>
    <col min="769" max="769" width="69.54296875" style="17" bestFit="1" customWidth="1"/>
    <col min="770" max="770" width="11.26953125" style="17" customWidth="1"/>
    <col min="771" max="771" width="12.7265625" style="17" customWidth="1"/>
    <col min="772" max="775" width="8.7265625" style="17" customWidth="1"/>
    <col min="776" max="776" width="11.453125" style="17" customWidth="1"/>
    <col min="777" max="778" width="8.7265625" style="17" customWidth="1"/>
    <col min="779" max="781" width="13.1796875" style="17" customWidth="1"/>
    <col min="782" max="783" width="9.1796875" style="17"/>
    <col min="784" max="784" width="54.54296875" style="17" bestFit="1" customWidth="1"/>
    <col min="785" max="1024" width="9.1796875" style="17"/>
    <col min="1025" max="1025" width="69.54296875" style="17" bestFit="1" customWidth="1"/>
    <col min="1026" max="1026" width="11.26953125" style="17" customWidth="1"/>
    <col min="1027" max="1027" width="12.7265625" style="17" customWidth="1"/>
    <col min="1028" max="1031" width="8.7265625" style="17" customWidth="1"/>
    <col min="1032" max="1032" width="11.453125" style="17" customWidth="1"/>
    <col min="1033" max="1034" width="8.7265625" style="17" customWidth="1"/>
    <col min="1035" max="1037" width="13.1796875" style="17" customWidth="1"/>
    <col min="1038" max="1039" width="9.1796875" style="17"/>
    <col min="1040" max="1040" width="54.54296875" style="17" bestFit="1" customWidth="1"/>
    <col min="1041" max="1280" width="9.1796875" style="17"/>
    <col min="1281" max="1281" width="69.54296875" style="17" bestFit="1" customWidth="1"/>
    <col min="1282" max="1282" width="11.26953125" style="17" customWidth="1"/>
    <col min="1283" max="1283" width="12.7265625" style="17" customWidth="1"/>
    <col min="1284" max="1287" width="8.7265625" style="17" customWidth="1"/>
    <col min="1288" max="1288" width="11.453125" style="17" customWidth="1"/>
    <col min="1289" max="1290" width="8.7265625" style="17" customWidth="1"/>
    <col min="1291" max="1293" width="13.1796875" style="17" customWidth="1"/>
    <col min="1294" max="1295" width="9.1796875" style="17"/>
    <col min="1296" max="1296" width="54.54296875" style="17" bestFit="1" customWidth="1"/>
    <col min="1297" max="1536" width="9.1796875" style="17"/>
    <col min="1537" max="1537" width="69.54296875" style="17" bestFit="1" customWidth="1"/>
    <col min="1538" max="1538" width="11.26953125" style="17" customWidth="1"/>
    <col min="1539" max="1539" width="12.7265625" style="17" customWidth="1"/>
    <col min="1540" max="1543" width="8.7265625" style="17" customWidth="1"/>
    <col min="1544" max="1544" width="11.453125" style="17" customWidth="1"/>
    <col min="1545" max="1546" width="8.7265625" style="17" customWidth="1"/>
    <col min="1547" max="1549" width="13.1796875" style="17" customWidth="1"/>
    <col min="1550" max="1551" width="9.1796875" style="17"/>
    <col min="1552" max="1552" width="54.54296875" style="17" bestFit="1" customWidth="1"/>
    <col min="1553" max="1792" width="9.1796875" style="17"/>
    <col min="1793" max="1793" width="69.54296875" style="17" bestFit="1" customWidth="1"/>
    <col min="1794" max="1794" width="11.26953125" style="17" customWidth="1"/>
    <col min="1795" max="1795" width="12.7265625" style="17" customWidth="1"/>
    <col min="1796" max="1799" width="8.7265625" style="17" customWidth="1"/>
    <col min="1800" max="1800" width="11.453125" style="17" customWidth="1"/>
    <col min="1801" max="1802" width="8.7265625" style="17" customWidth="1"/>
    <col min="1803" max="1805" width="13.1796875" style="17" customWidth="1"/>
    <col min="1806" max="1807" width="9.1796875" style="17"/>
    <col min="1808" max="1808" width="54.54296875" style="17" bestFit="1" customWidth="1"/>
    <col min="1809" max="2048" width="9.1796875" style="17"/>
    <col min="2049" max="2049" width="69.54296875" style="17" bestFit="1" customWidth="1"/>
    <col min="2050" max="2050" width="11.26953125" style="17" customWidth="1"/>
    <col min="2051" max="2051" width="12.7265625" style="17" customWidth="1"/>
    <col min="2052" max="2055" width="8.7265625" style="17" customWidth="1"/>
    <col min="2056" max="2056" width="11.453125" style="17" customWidth="1"/>
    <col min="2057" max="2058" width="8.7265625" style="17" customWidth="1"/>
    <col min="2059" max="2061" width="13.1796875" style="17" customWidth="1"/>
    <col min="2062" max="2063" width="9.1796875" style="17"/>
    <col min="2064" max="2064" width="54.54296875" style="17" bestFit="1" customWidth="1"/>
    <col min="2065" max="2304" width="9.1796875" style="17"/>
    <col min="2305" max="2305" width="69.54296875" style="17" bestFit="1" customWidth="1"/>
    <col min="2306" max="2306" width="11.26953125" style="17" customWidth="1"/>
    <col min="2307" max="2307" width="12.7265625" style="17" customWidth="1"/>
    <col min="2308" max="2311" width="8.7265625" style="17" customWidth="1"/>
    <col min="2312" max="2312" width="11.453125" style="17" customWidth="1"/>
    <col min="2313" max="2314" width="8.7265625" style="17" customWidth="1"/>
    <col min="2315" max="2317" width="13.1796875" style="17" customWidth="1"/>
    <col min="2318" max="2319" width="9.1796875" style="17"/>
    <col min="2320" max="2320" width="54.54296875" style="17" bestFit="1" customWidth="1"/>
    <col min="2321" max="2560" width="9.1796875" style="17"/>
    <col min="2561" max="2561" width="69.54296875" style="17" bestFit="1" customWidth="1"/>
    <col min="2562" max="2562" width="11.26953125" style="17" customWidth="1"/>
    <col min="2563" max="2563" width="12.7265625" style="17" customWidth="1"/>
    <col min="2564" max="2567" width="8.7265625" style="17" customWidth="1"/>
    <col min="2568" max="2568" width="11.453125" style="17" customWidth="1"/>
    <col min="2569" max="2570" width="8.7265625" style="17" customWidth="1"/>
    <col min="2571" max="2573" width="13.1796875" style="17" customWidth="1"/>
    <col min="2574" max="2575" width="9.1796875" style="17"/>
    <col min="2576" max="2576" width="54.54296875" style="17" bestFit="1" customWidth="1"/>
    <col min="2577" max="2816" width="9.1796875" style="17"/>
    <col min="2817" max="2817" width="69.54296875" style="17" bestFit="1" customWidth="1"/>
    <col min="2818" max="2818" width="11.26953125" style="17" customWidth="1"/>
    <col min="2819" max="2819" width="12.7265625" style="17" customWidth="1"/>
    <col min="2820" max="2823" width="8.7265625" style="17" customWidth="1"/>
    <col min="2824" max="2824" width="11.453125" style="17" customWidth="1"/>
    <col min="2825" max="2826" width="8.7265625" style="17" customWidth="1"/>
    <col min="2827" max="2829" width="13.1796875" style="17" customWidth="1"/>
    <col min="2830" max="2831" width="9.1796875" style="17"/>
    <col min="2832" max="2832" width="54.54296875" style="17" bestFit="1" customWidth="1"/>
    <col min="2833" max="3072" width="9.1796875" style="17"/>
    <col min="3073" max="3073" width="69.54296875" style="17" bestFit="1" customWidth="1"/>
    <col min="3074" max="3074" width="11.26953125" style="17" customWidth="1"/>
    <col min="3075" max="3075" width="12.7265625" style="17" customWidth="1"/>
    <col min="3076" max="3079" width="8.7265625" style="17" customWidth="1"/>
    <col min="3080" max="3080" width="11.453125" style="17" customWidth="1"/>
    <col min="3081" max="3082" width="8.7265625" style="17" customWidth="1"/>
    <col min="3083" max="3085" width="13.1796875" style="17" customWidth="1"/>
    <col min="3086" max="3087" width="9.1796875" style="17"/>
    <col min="3088" max="3088" width="54.54296875" style="17" bestFit="1" customWidth="1"/>
    <col min="3089" max="3328" width="9.1796875" style="17"/>
    <col min="3329" max="3329" width="69.54296875" style="17" bestFit="1" customWidth="1"/>
    <col min="3330" max="3330" width="11.26953125" style="17" customWidth="1"/>
    <col min="3331" max="3331" width="12.7265625" style="17" customWidth="1"/>
    <col min="3332" max="3335" width="8.7265625" style="17" customWidth="1"/>
    <col min="3336" max="3336" width="11.453125" style="17" customWidth="1"/>
    <col min="3337" max="3338" width="8.7265625" style="17" customWidth="1"/>
    <col min="3339" max="3341" width="13.1796875" style="17" customWidth="1"/>
    <col min="3342" max="3343" width="9.1796875" style="17"/>
    <col min="3344" max="3344" width="54.54296875" style="17" bestFit="1" customWidth="1"/>
    <col min="3345" max="3584" width="9.1796875" style="17"/>
    <col min="3585" max="3585" width="69.54296875" style="17" bestFit="1" customWidth="1"/>
    <col min="3586" max="3586" width="11.26953125" style="17" customWidth="1"/>
    <col min="3587" max="3587" width="12.7265625" style="17" customWidth="1"/>
    <col min="3588" max="3591" width="8.7265625" style="17" customWidth="1"/>
    <col min="3592" max="3592" width="11.453125" style="17" customWidth="1"/>
    <col min="3593" max="3594" width="8.7265625" style="17" customWidth="1"/>
    <col min="3595" max="3597" width="13.1796875" style="17" customWidth="1"/>
    <col min="3598" max="3599" width="9.1796875" style="17"/>
    <col min="3600" max="3600" width="54.54296875" style="17" bestFit="1" customWidth="1"/>
    <col min="3601" max="3840" width="9.1796875" style="17"/>
    <col min="3841" max="3841" width="69.54296875" style="17" bestFit="1" customWidth="1"/>
    <col min="3842" max="3842" width="11.26953125" style="17" customWidth="1"/>
    <col min="3843" max="3843" width="12.7265625" style="17" customWidth="1"/>
    <col min="3844" max="3847" width="8.7265625" style="17" customWidth="1"/>
    <col min="3848" max="3848" width="11.453125" style="17" customWidth="1"/>
    <col min="3849" max="3850" width="8.7265625" style="17" customWidth="1"/>
    <col min="3851" max="3853" width="13.1796875" style="17" customWidth="1"/>
    <col min="3854" max="3855" width="9.1796875" style="17"/>
    <col min="3856" max="3856" width="54.54296875" style="17" bestFit="1" customWidth="1"/>
    <col min="3857" max="4096" width="9.1796875" style="17"/>
    <col min="4097" max="4097" width="69.54296875" style="17" bestFit="1" customWidth="1"/>
    <col min="4098" max="4098" width="11.26953125" style="17" customWidth="1"/>
    <col min="4099" max="4099" width="12.7265625" style="17" customWidth="1"/>
    <col min="4100" max="4103" width="8.7265625" style="17" customWidth="1"/>
    <col min="4104" max="4104" width="11.453125" style="17" customWidth="1"/>
    <col min="4105" max="4106" width="8.7265625" style="17" customWidth="1"/>
    <col min="4107" max="4109" width="13.1796875" style="17" customWidth="1"/>
    <col min="4110" max="4111" width="9.1796875" style="17"/>
    <col min="4112" max="4112" width="54.54296875" style="17" bestFit="1" customWidth="1"/>
    <col min="4113" max="4352" width="9.1796875" style="17"/>
    <col min="4353" max="4353" width="69.54296875" style="17" bestFit="1" customWidth="1"/>
    <col min="4354" max="4354" width="11.26953125" style="17" customWidth="1"/>
    <col min="4355" max="4355" width="12.7265625" style="17" customWidth="1"/>
    <col min="4356" max="4359" width="8.7265625" style="17" customWidth="1"/>
    <col min="4360" max="4360" width="11.453125" style="17" customWidth="1"/>
    <col min="4361" max="4362" width="8.7265625" style="17" customWidth="1"/>
    <col min="4363" max="4365" width="13.1796875" style="17" customWidth="1"/>
    <col min="4366" max="4367" width="9.1796875" style="17"/>
    <col min="4368" max="4368" width="54.54296875" style="17" bestFit="1" customWidth="1"/>
    <col min="4369" max="4608" width="9.1796875" style="17"/>
    <col min="4609" max="4609" width="69.54296875" style="17" bestFit="1" customWidth="1"/>
    <col min="4610" max="4610" width="11.26953125" style="17" customWidth="1"/>
    <col min="4611" max="4611" width="12.7265625" style="17" customWidth="1"/>
    <col min="4612" max="4615" width="8.7265625" style="17" customWidth="1"/>
    <col min="4616" max="4616" width="11.453125" style="17" customWidth="1"/>
    <col min="4617" max="4618" width="8.7265625" style="17" customWidth="1"/>
    <col min="4619" max="4621" width="13.1796875" style="17" customWidth="1"/>
    <col min="4622" max="4623" width="9.1796875" style="17"/>
    <col min="4624" max="4624" width="54.54296875" style="17" bestFit="1" customWidth="1"/>
    <col min="4625" max="4864" width="9.1796875" style="17"/>
    <col min="4865" max="4865" width="69.54296875" style="17" bestFit="1" customWidth="1"/>
    <col min="4866" max="4866" width="11.26953125" style="17" customWidth="1"/>
    <col min="4867" max="4867" width="12.7265625" style="17" customWidth="1"/>
    <col min="4868" max="4871" width="8.7265625" style="17" customWidth="1"/>
    <col min="4872" max="4872" width="11.453125" style="17" customWidth="1"/>
    <col min="4873" max="4874" width="8.7265625" style="17" customWidth="1"/>
    <col min="4875" max="4877" width="13.1796875" style="17" customWidth="1"/>
    <col min="4878" max="4879" width="9.1796875" style="17"/>
    <col min="4880" max="4880" width="54.54296875" style="17" bestFit="1" customWidth="1"/>
    <col min="4881" max="5120" width="9.1796875" style="17"/>
    <col min="5121" max="5121" width="69.54296875" style="17" bestFit="1" customWidth="1"/>
    <col min="5122" max="5122" width="11.26953125" style="17" customWidth="1"/>
    <col min="5123" max="5123" width="12.7265625" style="17" customWidth="1"/>
    <col min="5124" max="5127" width="8.7265625" style="17" customWidth="1"/>
    <col min="5128" max="5128" width="11.453125" style="17" customWidth="1"/>
    <col min="5129" max="5130" width="8.7265625" style="17" customWidth="1"/>
    <col min="5131" max="5133" width="13.1796875" style="17" customWidth="1"/>
    <col min="5134" max="5135" width="9.1796875" style="17"/>
    <col min="5136" max="5136" width="54.54296875" style="17" bestFit="1" customWidth="1"/>
    <col min="5137" max="5376" width="9.1796875" style="17"/>
    <col min="5377" max="5377" width="69.54296875" style="17" bestFit="1" customWidth="1"/>
    <col min="5378" max="5378" width="11.26953125" style="17" customWidth="1"/>
    <col min="5379" max="5379" width="12.7265625" style="17" customWidth="1"/>
    <col min="5380" max="5383" width="8.7265625" style="17" customWidth="1"/>
    <col min="5384" max="5384" width="11.453125" style="17" customWidth="1"/>
    <col min="5385" max="5386" width="8.7265625" style="17" customWidth="1"/>
    <col min="5387" max="5389" width="13.1796875" style="17" customWidth="1"/>
    <col min="5390" max="5391" width="9.1796875" style="17"/>
    <col min="5392" max="5392" width="54.54296875" style="17" bestFit="1" customWidth="1"/>
    <col min="5393" max="5632" width="9.1796875" style="17"/>
    <col min="5633" max="5633" width="69.54296875" style="17" bestFit="1" customWidth="1"/>
    <col min="5634" max="5634" width="11.26953125" style="17" customWidth="1"/>
    <col min="5635" max="5635" width="12.7265625" style="17" customWidth="1"/>
    <col min="5636" max="5639" width="8.7265625" style="17" customWidth="1"/>
    <col min="5640" max="5640" width="11.453125" style="17" customWidth="1"/>
    <col min="5641" max="5642" width="8.7265625" style="17" customWidth="1"/>
    <col min="5643" max="5645" width="13.1796875" style="17" customWidth="1"/>
    <col min="5646" max="5647" width="9.1796875" style="17"/>
    <col min="5648" max="5648" width="54.54296875" style="17" bestFit="1" customWidth="1"/>
    <col min="5649" max="5888" width="9.1796875" style="17"/>
    <col min="5889" max="5889" width="69.54296875" style="17" bestFit="1" customWidth="1"/>
    <col min="5890" max="5890" width="11.26953125" style="17" customWidth="1"/>
    <col min="5891" max="5891" width="12.7265625" style="17" customWidth="1"/>
    <col min="5892" max="5895" width="8.7265625" style="17" customWidth="1"/>
    <col min="5896" max="5896" width="11.453125" style="17" customWidth="1"/>
    <col min="5897" max="5898" width="8.7265625" style="17" customWidth="1"/>
    <col min="5899" max="5901" width="13.1796875" style="17" customWidth="1"/>
    <col min="5902" max="5903" width="9.1796875" style="17"/>
    <col min="5904" max="5904" width="54.54296875" style="17" bestFit="1" customWidth="1"/>
    <col min="5905" max="6144" width="9.1796875" style="17"/>
    <col min="6145" max="6145" width="69.54296875" style="17" bestFit="1" customWidth="1"/>
    <col min="6146" max="6146" width="11.26953125" style="17" customWidth="1"/>
    <col min="6147" max="6147" width="12.7265625" style="17" customWidth="1"/>
    <col min="6148" max="6151" width="8.7265625" style="17" customWidth="1"/>
    <col min="6152" max="6152" width="11.453125" style="17" customWidth="1"/>
    <col min="6153" max="6154" width="8.7265625" style="17" customWidth="1"/>
    <col min="6155" max="6157" width="13.1796875" style="17" customWidth="1"/>
    <col min="6158" max="6159" width="9.1796875" style="17"/>
    <col min="6160" max="6160" width="54.54296875" style="17" bestFit="1" customWidth="1"/>
    <col min="6161" max="6400" width="9.1796875" style="17"/>
    <col min="6401" max="6401" width="69.54296875" style="17" bestFit="1" customWidth="1"/>
    <col min="6402" max="6402" width="11.26953125" style="17" customWidth="1"/>
    <col min="6403" max="6403" width="12.7265625" style="17" customWidth="1"/>
    <col min="6404" max="6407" width="8.7265625" style="17" customWidth="1"/>
    <col min="6408" max="6408" width="11.453125" style="17" customWidth="1"/>
    <col min="6409" max="6410" width="8.7265625" style="17" customWidth="1"/>
    <col min="6411" max="6413" width="13.1796875" style="17" customWidth="1"/>
    <col min="6414" max="6415" width="9.1796875" style="17"/>
    <col min="6416" max="6416" width="54.54296875" style="17" bestFit="1" customWidth="1"/>
    <col min="6417" max="6656" width="9.1796875" style="17"/>
    <col min="6657" max="6657" width="69.54296875" style="17" bestFit="1" customWidth="1"/>
    <col min="6658" max="6658" width="11.26953125" style="17" customWidth="1"/>
    <col min="6659" max="6659" width="12.7265625" style="17" customWidth="1"/>
    <col min="6660" max="6663" width="8.7265625" style="17" customWidth="1"/>
    <col min="6664" max="6664" width="11.453125" style="17" customWidth="1"/>
    <col min="6665" max="6666" width="8.7265625" style="17" customWidth="1"/>
    <col min="6667" max="6669" width="13.1796875" style="17" customWidth="1"/>
    <col min="6670" max="6671" width="9.1796875" style="17"/>
    <col min="6672" max="6672" width="54.54296875" style="17" bestFit="1" customWidth="1"/>
    <col min="6673" max="6912" width="9.1796875" style="17"/>
    <col min="6913" max="6913" width="69.54296875" style="17" bestFit="1" customWidth="1"/>
    <col min="6914" max="6914" width="11.26953125" style="17" customWidth="1"/>
    <col min="6915" max="6915" width="12.7265625" style="17" customWidth="1"/>
    <col min="6916" max="6919" width="8.7265625" style="17" customWidth="1"/>
    <col min="6920" max="6920" width="11.453125" style="17" customWidth="1"/>
    <col min="6921" max="6922" width="8.7265625" style="17" customWidth="1"/>
    <col min="6923" max="6925" width="13.1796875" style="17" customWidth="1"/>
    <col min="6926" max="6927" width="9.1796875" style="17"/>
    <col min="6928" max="6928" width="54.54296875" style="17" bestFit="1" customWidth="1"/>
    <col min="6929" max="7168" width="9.1796875" style="17"/>
    <col min="7169" max="7169" width="69.54296875" style="17" bestFit="1" customWidth="1"/>
    <col min="7170" max="7170" width="11.26953125" style="17" customWidth="1"/>
    <col min="7171" max="7171" width="12.7265625" style="17" customWidth="1"/>
    <col min="7172" max="7175" width="8.7265625" style="17" customWidth="1"/>
    <col min="7176" max="7176" width="11.453125" style="17" customWidth="1"/>
    <col min="7177" max="7178" width="8.7265625" style="17" customWidth="1"/>
    <col min="7179" max="7181" width="13.1796875" style="17" customWidth="1"/>
    <col min="7182" max="7183" width="9.1796875" style="17"/>
    <col min="7184" max="7184" width="54.54296875" style="17" bestFit="1" customWidth="1"/>
    <col min="7185" max="7424" width="9.1796875" style="17"/>
    <col min="7425" max="7425" width="69.54296875" style="17" bestFit="1" customWidth="1"/>
    <col min="7426" max="7426" width="11.26953125" style="17" customWidth="1"/>
    <col min="7427" max="7427" width="12.7265625" style="17" customWidth="1"/>
    <col min="7428" max="7431" width="8.7265625" style="17" customWidth="1"/>
    <col min="7432" max="7432" width="11.453125" style="17" customWidth="1"/>
    <col min="7433" max="7434" width="8.7265625" style="17" customWidth="1"/>
    <col min="7435" max="7437" width="13.1796875" style="17" customWidth="1"/>
    <col min="7438" max="7439" width="9.1796875" style="17"/>
    <col min="7440" max="7440" width="54.54296875" style="17" bestFit="1" customWidth="1"/>
    <col min="7441" max="7680" width="9.1796875" style="17"/>
    <col min="7681" max="7681" width="69.54296875" style="17" bestFit="1" customWidth="1"/>
    <col min="7682" max="7682" width="11.26953125" style="17" customWidth="1"/>
    <col min="7683" max="7683" width="12.7265625" style="17" customWidth="1"/>
    <col min="7684" max="7687" width="8.7265625" style="17" customWidth="1"/>
    <col min="7688" max="7688" width="11.453125" style="17" customWidth="1"/>
    <col min="7689" max="7690" width="8.7265625" style="17" customWidth="1"/>
    <col min="7691" max="7693" width="13.1796875" style="17" customWidth="1"/>
    <col min="7694" max="7695" width="9.1796875" style="17"/>
    <col min="7696" max="7696" width="54.54296875" style="17" bestFit="1" customWidth="1"/>
    <col min="7697" max="7936" width="9.1796875" style="17"/>
    <col min="7937" max="7937" width="69.54296875" style="17" bestFit="1" customWidth="1"/>
    <col min="7938" max="7938" width="11.26953125" style="17" customWidth="1"/>
    <col min="7939" max="7939" width="12.7265625" style="17" customWidth="1"/>
    <col min="7940" max="7943" width="8.7265625" style="17" customWidth="1"/>
    <col min="7944" max="7944" width="11.453125" style="17" customWidth="1"/>
    <col min="7945" max="7946" width="8.7265625" style="17" customWidth="1"/>
    <col min="7947" max="7949" width="13.1796875" style="17" customWidth="1"/>
    <col min="7950" max="7951" width="9.1796875" style="17"/>
    <col min="7952" max="7952" width="54.54296875" style="17" bestFit="1" customWidth="1"/>
    <col min="7953" max="8192" width="9.1796875" style="17"/>
    <col min="8193" max="8193" width="69.54296875" style="17" bestFit="1" customWidth="1"/>
    <col min="8194" max="8194" width="11.26953125" style="17" customWidth="1"/>
    <col min="8195" max="8195" width="12.7265625" style="17" customWidth="1"/>
    <col min="8196" max="8199" width="8.7265625" style="17" customWidth="1"/>
    <col min="8200" max="8200" width="11.453125" style="17" customWidth="1"/>
    <col min="8201" max="8202" width="8.7265625" style="17" customWidth="1"/>
    <col min="8203" max="8205" width="13.1796875" style="17" customWidth="1"/>
    <col min="8206" max="8207" width="9.1796875" style="17"/>
    <col min="8208" max="8208" width="54.54296875" style="17" bestFit="1" customWidth="1"/>
    <col min="8209" max="8448" width="9.1796875" style="17"/>
    <col min="8449" max="8449" width="69.54296875" style="17" bestFit="1" customWidth="1"/>
    <col min="8450" max="8450" width="11.26953125" style="17" customWidth="1"/>
    <col min="8451" max="8451" width="12.7265625" style="17" customWidth="1"/>
    <col min="8452" max="8455" width="8.7265625" style="17" customWidth="1"/>
    <col min="8456" max="8456" width="11.453125" style="17" customWidth="1"/>
    <col min="8457" max="8458" width="8.7265625" style="17" customWidth="1"/>
    <col min="8459" max="8461" width="13.1796875" style="17" customWidth="1"/>
    <col min="8462" max="8463" width="9.1796875" style="17"/>
    <col min="8464" max="8464" width="54.54296875" style="17" bestFit="1" customWidth="1"/>
    <col min="8465" max="8704" width="9.1796875" style="17"/>
    <col min="8705" max="8705" width="69.54296875" style="17" bestFit="1" customWidth="1"/>
    <col min="8706" max="8706" width="11.26953125" style="17" customWidth="1"/>
    <col min="8707" max="8707" width="12.7265625" style="17" customWidth="1"/>
    <col min="8708" max="8711" width="8.7265625" style="17" customWidth="1"/>
    <col min="8712" max="8712" width="11.453125" style="17" customWidth="1"/>
    <col min="8713" max="8714" width="8.7265625" style="17" customWidth="1"/>
    <col min="8715" max="8717" width="13.1796875" style="17" customWidth="1"/>
    <col min="8718" max="8719" width="9.1796875" style="17"/>
    <col min="8720" max="8720" width="54.54296875" style="17" bestFit="1" customWidth="1"/>
    <col min="8721" max="8960" width="9.1796875" style="17"/>
    <col min="8961" max="8961" width="69.54296875" style="17" bestFit="1" customWidth="1"/>
    <col min="8962" max="8962" width="11.26953125" style="17" customWidth="1"/>
    <col min="8963" max="8963" width="12.7265625" style="17" customWidth="1"/>
    <col min="8964" max="8967" width="8.7265625" style="17" customWidth="1"/>
    <col min="8968" max="8968" width="11.453125" style="17" customWidth="1"/>
    <col min="8969" max="8970" width="8.7265625" style="17" customWidth="1"/>
    <col min="8971" max="8973" width="13.1796875" style="17" customWidth="1"/>
    <col min="8974" max="8975" width="9.1796875" style="17"/>
    <col min="8976" max="8976" width="54.54296875" style="17" bestFit="1" customWidth="1"/>
    <col min="8977" max="9216" width="9.1796875" style="17"/>
    <col min="9217" max="9217" width="69.54296875" style="17" bestFit="1" customWidth="1"/>
    <col min="9218" max="9218" width="11.26953125" style="17" customWidth="1"/>
    <col min="9219" max="9219" width="12.7265625" style="17" customWidth="1"/>
    <col min="9220" max="9223" width="8.7265625" style="17" customWidth="1"/>
    <col min="9224" max="9224" width="11.453125" style="17" customWidth="1"/>
    <col min="9225" max="9226" width="8.7265625" style="17" customWidth="1"/>
    <col min="9227" max="9229" width="13.1796875" style="17" customWidth="1"/>
    <col min="9230" max="9231" width="9.1796875" style="17"/>
    <col min="9232" max="9232" width="54.54296875" style="17" bestFit="1" customWidth="1"/>
    <col min="9233" max="9472" width="9.1796875" style="17"/>
    <col min="9473" max="9473" width="69.54296875" style="17" bestFit="1" customWidth="1"/>
    <col min="9474" max="9474" width="11.26953125" style="17" customWidth="1"/>
    <col min="9475" max="9475" width="12.7265625" style="17" customWidth="1"/>
    <col min="9476" max="9479" width="8.7265625" style="17" customWidth="1"/>
    <col min="9480" max="9480" width="11.453125" style="17" customWidth="1"/>
    <col min="9481" max="9482" width="8.7265625" style="17" customWidth="1"/>
    <col min="9483" max="9485" width="13.1796875" style="17" customWidth="1"/>
    <col min="9486" max="9487" width="9.1796875" style="17"/>
    <col min="9488" max="9488" width="54.54296875" style="17" bestFit="1" customWidth="1"/>
    <col min="9489" max="9728" width="9.1796875" style="17"/>
    <col min="9729" max="9729" width="69.54296875" style="17" bestFit="1" customWidth="1"/>
    <col min="9730" max="9730" width="11.26953125" style="17" customWidth="1"/>
    <col min="9731" max="9731" width="12.7265625" style="17" customWidth="1"/>
    <col min="9732" max="9735" width="8.7265625" style="17" customWidth="1"/>
    <col min="9736" max="9736" width="11.453125" style="17" customWidth="1"/>
    <col min="9737" max="9738" width="8.7265625" style="17" customWidth="1"/>
    <col min="9739" max="9741" width="13.1796875" style="17" customWidth="1"/>
    <col min="9742" max="9743" width="9.1796875" style="17"/>
    <col min="9744" max="9744" width="54.54296875" style="17" bestFit="1" customWidth="1"/>
    <col min="9745" max="9984" width="9.1796875" style="17"/>
    <col min="9985" max="9985" width="69.54296875" style="17" bestFit="1" customWidth="1"/>
    <col min="9986" max="9986" width="11.26953125" style="17" customWidth="1"/>
    <col min="9987" max="9987" width="12.7265625" style="17" customWidth="1"/>
    <col min="9988" max="9991" width="8.7265625" style="17" customWidth="1"/>
    <col min="9992" max="9992" width="11.453125" style="17" customWidth="1"/>
    <col min="9993" max="9994" width="8.7265625" style="17" customWidth="1"/>
    <col min="9995" max="9997" width="13.1796875" style="17" customWidth="1"/>
    <col min="9998" max="9999" width="9.1796875" style="17"/>
    <col min="10000" max="10000" width="54.54296875" style="17" bestFit="1" customWidth="1"/>
    <col min="10001" max="10240" width="9.1796875" style="17"/>
    <col min="10241" max="10241" width="69.54296875" style="17" bestFit="1" customWidth="1"/>
    <col min="10242" max="10242" width="11.26953125" style="17" customWidth="1"/>
    <col min="10243" max="10243" width="12.7265625" style="17" customWidth="1"/>
    <col min="10244" max="10247" width="8.7265625" style="17" customWidth="1"/>
    <col min="10248" max="10248" width="11.453125" style="17" customWidth="1"/>
    <col min="10249" max="10250" width="8.7265625" style="17" customWidth="1"/>
    <col min="10251" max="10253" width="13.1796875" style="17" customWidth="1"/>
    <col min="10254" max="10255" width="9.1796875" style="17"/>
    <col min="10256" max="10256" width="54.54296875" style="17" bestFit="1" customWidth="1"/>
    <col min="10257" max="10496" width="9.1796875" style="17"/>
    <col min="10497" max="10497" width="69.54296875" style="17" bestFit="1" customWidth="1"/>
    <col min="10498" max="10498" width="11.26953125" style="17" customWidth="1"/>
    <col min="10499" max="10499" width="12.7265625" style="17" customWidth="1"/>
    <col min="10500" max="10503" width="8.7265625" style="17" customWidth="1"/>
    <col min="10504" max="10504" width="11.453125" style="17" customWidth="1"/>
    <col min="10505" max="10506" width="8.7265625" style="17" customWidth="1"/>
    <col min="10507" max="10509" width="13.1796875" style="17" customWidth="1"/>
    <col min="10510" max="10511" width="9.1796875" style="17"/>
    <col min="10512" max="10512" width="54.54296875" style="17" bestFit="1" customWidth="1"/>
    <col min="10513" max="10752" width="9.1796875" style="17"/>
    <col min="10753" max="10753" width="69.54296875" style="17" bestFit="1" customWidth="1"/>
    <col min="10754" max="10754" width="11.26953125" style="17" customWidth="1"/>
    <col min="10755" max="10755" width="12.7265625" style="17" customWidth="1"/>
    <col min="10756" max="10759" width="8.7265625" style="17" customWidth="1"/>
    <col min="10760" max="10760" width="11.453125" style="17" customWidth="1"/>
    <col min="10761" max="10762" width="8.7265625" style="17" customWidth="1"/>
    <col min="10763" max="10765" width="13.1796875" style="17" customWidth="1"/>
    <col min="10766" max="10767" width="9.1796875" style="17"/>
    <col min="10768" max="10768" width="54.54296875" style="17" bestFit="1" customWidth="1"/>
    <col min="10769" max="11008" width="9.1796875" style="17"/>
    <col min="11009" max="11009" width="69.54296875" style="17" bestFit="1" customWidth="1"/>
    <col min="11010" max="11010" width="11.26953125" style="17" customWidth="1"/>
    <col min="11011" max="11011" width="12.7265625" style="17" customWidth="1"/>
    <col min="11012" max="11015" width="8.7265625" style="17" customWidth="1"/>
    <col min="11016" max="11016" width="11.453125" style="17" customWidth="1"/>
    <col min="11017" max="11018" width="8.7265625" style="17" customWidth="1"/>
    <col min="11019" max="11021" width="13.1796875" style="17" customWidth="1"/>
    <col min="11022" max="11023" width="9.1796875" style="17"/>
    <col min="11024" max="11024" width="54.54296875" style="17" bestFit="1" customWidth="1"/>
    <col min="11025" max="11264" width="9.1796875" style="17"/>
    <col min="11265" max="11265" width="69.54296875" style="17" bestFit="1" customWidth="1"/>
    <col min="11266" max="11266" width="11.26953125" style="17" customWidth="1"/>
    <col min="11267" max="11267" width="12.7265625" style="17" customWidth="1"/>
    <col min="11268" max="11271" width="8.7265625" style="17" customWidth="1"/>
    <col min="11272" max="11272" width="11.453125" style="17" customWidth="1"/>
    <col min="11273" max="11274" width="8.7265625" style="17" customWidth="1"/>
    <col min="11275" max="11277" width="13.1796875" style="17" customWidth="1"/>
    <col min="11278" max="11279" width="9.1796875" style="17"/>
    <col min="11280" max="11280" width="54.54296875" style="17" bestFit="1" customWidth="1"/>
    <col min="11281" max="11520" width="9.1796875" style="17"/>
    <col min="11521" max="11521" width="69.54296875" style="17" bestFit="1" customWidth="1"/>
    <col min="11522" max="11522" width="11.26953125" style="17" customWidth="1"/>
    <col min="11523" max="11523" width="12.7265625" style="17" customWidth="1"/>
    <col min="11524" max="11527" width="8.7265625" style="17" customWidth="1"/>
    <col min="11528" max="11528" width="11.453125" style="17" customWidth="1"/>
    <col min="11529" max="11530" width="8.7265625" style="17" customWidth="1"/>
    <col min="11531" max="11533" width="13.1796875" style="17" customWidth="1"/>
    <col min="11534" max="11535" width="9.1796875" style="17"/>
    <col min="11536" max="11536" width="54.54296875" style="17" bestFit="1" customWidth="1"/>
    <col min="11537" max="11776" width="9.1796875" style="17"/>
    <col min="11777" max="11777" width="69.54296875" style="17" bestFit="1" customWidth="1"/>
    <col min="11778" max="11778" width="11.26953125" style="17" customWidth="1"/>
    <col min="11779" max="11779" width="12.7265625" style="17" customWidth="1"/>
    <col min="11780" max="11783" width="8.7265625" style="17" customWidth="1"/>
    <col min="11784" max="11784" width="11.453125" style="17" customWidth="1"/>
    <col min="11785" max="11786" width="8.7265625" style="17" customWidth="1"/>
    <col min="11787" max="11789" width="13.1796875" style="17" customWidth="1"/>
    <col min="11790" max="11791" width="9.1796875" style="17"/>
    <col min="11792" max="11792" width="54.54296875" style="17" bestFit="1" customWidth="1"/>
    <col min="11793" max="12032" width="9.1796875" style="17"/>
    <col min="12033" max="12033" width="69.54296875" style="17" bestFit="1" customWidth="1"/>
    <col min="12034" max="12034" width="11.26953125" style="17" customWidth="1"/>
    <col min="12035" max="12035" width="12.7265625" style="17" customWidth="1"/>
    <col min="12036" max="12039" width="8.7265625" style="17" customWidth="1"/>
    <col min="12040" max="12040" width="11.453125" style="17" customWidth="1"/>
    <col min="12041" max="12042" width="8.7265625" style="17" customWidth="1"/>
    <col min="12043" max="12045" width="13.1796875" style="17" customWidth="1"/>
    <col min="12046" max="12047" width="9.1796875" style="17"/>
    <col min="12048" max="12048" width="54.54296875" style="17" bestFit="1" customWidth="1"/>
    <col min="12049" max="12288" width="9.1796875" style="17"/>
    <col min="12289" max="12289" width="69.54296875" style="17" bestFit="1" customWidth="1"/>
    <col min="12290" max="12290" width="11.26953125" style="17" customWidth="1"/>
    <col min="12291" max="12291" width="12.7265625" style="17" customWidth="1"/>
    <col min="12292" max="12295" width="8.7265625" style="17" customWidth="1"/>
    <col min="12296" max="12296" width="11.453125" style="17" customWidth="1"/>
    <col min="12297" max="12298" width="8.7265625" style="17" customWidth="1"/>
    <col min="12299" max="12301" width="13.1796875" style="17" customWidth="1"/>
    <col min="12302" max="12303" width="9.1796875" style="17"/>
    <col min="12304" max="12304" width="54.54296875" style="17" bestFit="1" customWidth="1"/>
    <col min="12305" max="12544" width="9.1796875" style="17"/>
    <col min="12545" max="12545" width="69.54296875" style="17" bestFit="1" customWidth="1"/>
    <col min="12546" max="12546" width="11.26953125" style="17" customWidth="1"/>
    <col min="12547" max="12547" width="12.7265625" style="17" customWidth="1"/>
    <col min="12548" max="12551" width="8.7265625" style="17" customWidth="1"/>
    <col min="12552" max="12552" width="11.453125" style="17" customWidth="1"/>
    <col min="12553" max="12554" width="8.7265625" style="17" customWidth="1"/>
    <col min="12555" max="12557" width="13.1796875" style="17" customWidth="1"/>
    <col min="12558" max="12559" width="9.1796875" style="17"/>
    <col min="12560" max="12560" width="54.54296875" style="17" bestFit="1" customWidth="1"/>
    <col min="12561" max="12800" width="9.1796875" style="17"/>
    <col min="12801" max="12801" width="69.54296875" style="17" bestFit="1" customWidth="1"/>
    <col min="12802" max="12802" width="11.26953125" style="17" customWidth="1"/>
    <col min="12803" max="12803" width="12.7265625" style="17" customWidth="1"/>
    <col min="12804" max="12807" width="8.7265625" style="17" customWidth="1"/>
    <col min="12808" max="12808" width="11.453125" style="17" customWidth="1"/>
    <col min="12809" max="12810" width="8.7265625" style="17" customWidth="1"/>
    <col min="12811" max="12813" width="13.1796875" style="17" customWidth="1"/>
    <col min="12814" max="12815" width="9.1796875" style="17"/>
    <col min="12816" max="12816" width="54.54296875" style="17" bestFit="1" customWidth="1"/>
    <col min="12817" max="13056" width="9.1796875" style="17"/>
    <col min="13057" max="13057" width="69.54296875" style="17" bestFit="1" customWidth="1"/>
    <col min="13058" max="13058" width="11.26953125" style="17" customWidth="1"/>
    <col min="13059" max="13059" width="12.7265625" style="17" customWidth="1"/>
    <col min="13060" max="13063" width="8.7265625" style="17" customWidth="1"/>
    <col min="13064" max="13064" width="11.453125" style="17" customWidth="1"/>
    <col min="13065" max="13066" width="8.7265625" style="17" customWidth="1"/>
    <col min="13067" max="13069" width="13.1796875" style="17" customWidth="1"/>
    <col min="13070" max="13071" width="9.1796875" style="17"/>
    <col min="13072" max="13072" width="54.54296875" style="17" bestFit="1" customWidth="1"/>
    <col min="13073" max="13312" width="9.1796875" style="17"/>
    <col min="13313" max="13313" width="69.54296875" style="17" bestFit="1" customWidth="1"/>
    <col min="13314" max="13314" width="11.26953125" style="17" customWidth="1"/>
    <col min="13315" max="13315" width="12.7265625" style="17" customWidth="1"/>
    <col min="13316" max="13319" width="8.7265625" style="17" customWidth="1"/>
    <col min="13320" max="13320" width="11.453125" style="17" customWidth="1"/>
    <col min="13321" max="13322" width="8.7265625" style="17" customWidth="1"/>
    <col min="13323" max="13325" width="13.1796875" style="17" customWidth="1"/>
    <col min="13326" max="13327" width="9.1796875" style="17"/>
    <col min="13328" max="13328" width="54.54296875" style="17" bestFit="1" customWidth="1"/>
    <col min="13329" max="13568" width="9.1796875" style="17"/>
    <col min="13569" max="13569" width="69.54296875" style="17" bestFit="1" customWidth="1"/>
    <col min="13570" max="13570" width="11.26953125" style="17" customWidth="1"/>
    <col min="13571" max="13571" width="12.7265625" style="17" customWidth="1"/>
    <col min="13572" max="13575" width="8.7265625" style="17" customWidth="1"/>
    <col min="13576" max="13576" width="11.453125" style="17" customWidth="1"/>
    <col min="13577" max="13578" width="8.7265625" style="17" customWidth="1"/>
    <col min="13579" max="13581" width="13.1796875" style="17" customWidth="1"/>
    <col min="13582" max="13583" width="9.1796875" style="17"/>
    <col min="13584" max="13584" width="54.54296875" style="17" bestFit="1" customWidth="1"/>
    <col min="13585" max="13824" width="9.1796875" style="17"/>
    <col min="13825" max="13825" width="69.54296875" style="17" bestFit="1" customWidth="1"/>
    <col min="13826" max="13826" width="11.26953125" style="17" customWidth="1"/>
    <col min="13827" max="13827" width="12.7265625" style="17" customWidth="1"/>
    <col min="13828" max="13831" width="8.7265625" style="17" customWidth="1"/>
    <col min="13832" max="13832" width="11.453125" style="17" customWidth="1"/>
    <col min="13833" max="13834" width="8.7265625" style="17" customWidth="1"/>
    <col min="13835" max="13837" width="13.1796875" style="17" customWidth="1"/>
    <col min="13838" max="13839" width="9.1796875" style="17"/>
    <col min="13840" max="13840" width="54.54296875" style="17" bestFit="1" customWidth="1"/>
    <col min="13841" max="14080" width="9.1796875" style="17"/>
    <col min="14081" max="14081" width="69.54296875" style="17" bestFit="1" customWidth="1"/>
    <col min="14082" max="14082" width="11.26953125" style="17" customWidth="1"/>
    <col min="14083" max="14083" width="12.7265625" style="17" customWidth="1"/>
    <col min="14084" max="14087" width="8.7265625" style="17" customWidth="1"/>
    <col min="14088" max="14088" width="11.453125" style="17" customWidth="1"/>
    <col min="14089" max="14090" width="8.7265625" style="17" customWidth="1"/>
    <col min="14091" max="14093" width="13.1796875" style="17" customWidth="1"/>
    <col min="14094" max="14095" width="9.1796875" style="17"/>
    <col min="14096" max="14096" width="54.54296875" style="17" bestFit="1" customWidth="1"/>
    <col min="14097" max="14336" width="9.1796875" style="17"/>
    <col min="14337" max="14337" width="69.54296875" style="17" bestFit="1" customWidth="1"/>
    <col min="14338" max="14338" width="11.26953125" style="17" customWidth="1"/>
    <col min="14339" max="14339" width="12.7265625" style="17" customWidth="1"/>
    <col min="14340" max="14343" width="8.7265625" style="17" customWidth="1"/>
    <col min="14344" max="14344" width="11.453125" style="17" customWidth="1"/>
    <col min="14345" max="14346" width="8.7265625" style="17" customWidth="1"/>
    <col min="14347" max="14349" width="13.1796875" style="17" customWidth="1"/>
    <col min="14350" max="14351" width="9.1796875" style="17"/>
    <col min="14352" max="14352" width="54.54296875" style="17" bestFit="1" customWidth="1"/>
    <col min="14353" max="14592" width="9.1796875" style="17"/>
    <col min="14593" max="14593" width="69.54296875" style="17" bestFit="1" customWidth="1"/>
    <col min="14594" max="14594" width="11.26953125" style="17" customWidth="1"/>
    <col min="14595" max="14595" width="12.7265625" style="17" customWidth="1"/>
    <col min="14596" max="14599" width="8.7265625" style="17" customWidth="1"/>
    <col min="14600" max="14600" width="11.453125" style="17" customWidth="1"/>
    <col min="14601" max="14602" width="8.7265625" style="17" customWidth="1"/>
    <col min="14603" max="14605" width="13.1796875" style="17" customWidth="1"/>
    <col min="14606" max="14607" width="9.1796875" style="17"/>
    <col min="14608" max="14608" width="54.54296875" style="17" bestFit="1" customWidth="1"/>
    <col min="14609" max="14848" width="9.1796875" style="17"/>
    <col min="14849" max="14849" width="69.54296875" style="17" bestFit="1" customWidth="1"/>
    <col min="14850" max="14850" width="11.26953125" style="17" customWidth="1"/>
    <col min="14851" max="14851" width="12.7265625" style="17" customWidth="1"/>
    <col min="14852" max="14855" width="8.7265625" style="17" customWidth="1"/>
    <col min="14856" max="14856" width="11.453125" style="17" customWidth="1"/>
    <col min="14857" max="14858" width="8.7265625" style="17" customWidth="1"/>
    <col min="14859" max="14861" width="13.1796875" style="17" customWidth="1"/>
    <col min="14862" max="14863" width="9.1796875" style="17"/>
    <col min="14864" max="14864" width="54.54296875" style="17" bestFit="1" customWidth="1"/>
    <col min="14865" max="15104" width="9.1796875" style="17"/>
    <col min="15105" max="15105" width="69.54296875" style="17" bestFit="1" customWidth="1"/>
    <col min="15106" max="15106" width="11.26953125" style="17" customWidth="1"/>
    <col min="15107" max="15107" width="12.7265625" style="17" customWidth="1"/>
    <col min="15108" max="15111" width="8.7265625" style="17" customWidth="1"/>
    <col min="15112" max="15112" width="11.453125" style="17" customWidth="1"/>
    <col min="15113" max="15114" width="8.7265625" style="17" customWidth="1"/>
    <col min="15115" max="15117" width="13.1796875" style="17" customWidth="1"/>
    <col min="15118" max="15119" width="9.1796875" style="17"/>
    <col min="15120" max="15120" width="54.54296875" style="17" bestFit="1" customWidth="1"/>
    <col min="15121" max="15360" width="9.1796875" style="17"/>
    <col min="15361" max="15361" width="69.54296875" style="17" bestFit="1" customWidth="1"/>
    <col min="15362" max="15362" width="11.26953125" style="17" customWidth="1"/>
    <col min="15363" max="15363" width="12.7265625" style="17" customWidth="1"/>
    <col min="15364" max="15367" width="8.7265625" style="17" customWidth="1"/>
    <col min="15368" max="15368" width="11.453125" style="17" customWidth="1"/>
    <col min="15369" max="15370" width="8.7265625" style="17" customWidth="1"/>
    <col min="15371" max="15373" width="13.1796875" style="17" customWidth="1"/>
    <col min="15374" max="15375" width="9.1796875" style="17"/>
    <col min="15376" max="15376" width="54.54296875" style="17" bestFit="1" customWidth="1"/>
    <col min="15377" max="15616" width="9.1796875" style="17"/>
    <col min="15617" max="15617" width="69.54296875" style="17" bestFit="1" customWidth="1"/>
    <col min="15618" max="15618" width="11.26953125" style="17" customWidth="1"/>
    <col min="15619" max="15619" width="12.7265625" style="17" customWidth="1"/>
    <col min="15620" max="15623" width="8.7265625" style="17" customWidth="1"/>
    <col min="15624" max="15624" width="11.453125" style="17" customWidth="1"/>
    <col min="15625" max="15626" width="8.7265625" style="17" customWidth="1"/>
    <col min="15627" max="15629" width="13.1796875" style="17" customWidth="1"/>
    <col min="15630" max="15631" width="9.1796875" style="17"/>
    <col min="15632" max="15632" width="54.54296875" style="17" bestFit="1" customWidth="1"/>
    <col min="15633" max="15872" width="9.1796875" style="17"/>
    <col min="15873" max="15873" width="69.54296875" style="17" bestFit="1" customWidth="1"/>
    <col min="15874" max="15874" width="11.26953125" style="17" customWidth="1"/>
    <col min="15875" max="15875" width="12.7265625" style="17" customWidth="1"/>
    <col min="15876" max="15879" width="8.7265625" style="17" customWidth="1"/>
    <col min="15880" max="15880" width="11.453125" style="17" customWidth="1"/>
    <col min="15881" max="15882" width="8.7265625" style="17" customWidth="1"/>
    <col min="15883" max="15885" width="13.1796875" style="17" customWidth="1"/>
    <col min="15886" max="15887" width="9.1796875" style="17"/>
    <col min="15888" max="15888" width="54.54296875" style="17" bestFit="1" customWidth="1"/>
    <col min="15889" max="16128" width="9.1796875" style="17"/>
    <col min="16129" max="16129" width="69.54296875" style="17" bestFit="1" customWidth="1"/>
    <col min="16130" max="16130" width="11.26953125" style="17" customWidth="1"/>
    <col min="16131" max="16131" width="12.7265625" style="17" customWidth="1"/>
    <col min="16132" max="16135" width="8.7265625" style="17" customWidth="1"/>
    <col min="16136" max="16136" width="11.453125" style="17" customWidth="1"/>
    <col min="16137" max="16138" width="8.7265625" style="17" customWidth="1"/>
    <col min="16139" max="16141" width="13.1796875" style="17" customWidth="1"/>
    <col min="16142" max="16143" width="9.1796875" style="17"/>
    <col min="16144" max="16144" width="54.54296875" style="17" bestFit="1" customWidth="1"/>
    <col min="16145" max="16384" width="9.1796875" style="17"/>
  </cols>
  <sheetData>
    <row r="2" spans="1:13" x14ac:dyDescent="0.25">
      <c r="A2" s="130"/>
      <c r="B2" s="297"/>
      <c r="C2" s="297"/>
      <c r="D2" s="297"/>
      <c r="E2" s="297"/>
      <c r="F2" s="297"/>
      <c r="G2" s="297"/>
      <c r="H2" s="297"/>
      <c r="I2" s="297"/>
      <c r="J2" s="297"/>
      <c r="K2" s="297"/>
      <c r="L2" s="297"/>
      <c r="M2" s="297"/>
    </row>
    <row r="3" spans="1:13" ht="13" x14ac:dyDescent="0.25">
      <c r="A3" s="330" t="s">
        <v>370</v>
      </c>
      <c r="B3" s="297" t="s">
        <v>371</v>
      </c>
      <c r="C3" s="297" t="s">
        <v>372</v>
      </c>
      <c r="D3" s="297" t="s">
        <v>184</v>
      </c>
      <c r="E3" s="297" t="s">
        <v>183</v>
      </c>
      <c r="F3" s="297" t="s">
        <v>94</v>
      </c>
      <c r="G3" s="297" t="s">
        <v>182</v>
      </c>
      <c r="H3" s="297" t="s">
        <v>373</v>
      </c>
      <c r="I3" s="297" t="s">
        <v>181</v>
      </c>
      <c r="J3" s="297" t="s">
        <v>86</v>
      </c>
      <c r="K3" s="297" t="s">
        <v>374</v>
      </c>
      <c r="L3" s="297" t="s">
        <v>88</v>
      </c>
      <c r="M3" s="297" t="s">
        <v>413</v>
      </c>
    </row>
    <row r="4" spans="1:13" ht="13" x14ac:dyDescent="0.3">
      <c r="A4" s="130" t="s">
        <v>293</v>
      </c>
      <c r="B4" s="297"/>
      <c r="C4" s="331"/>
      <c r="D4" s="297"/>
      <c r="E4" s="297"/>
      <c r="F4" s="297"/>
      <c r="G4" s="297"/>
      <c r="H4" s="297"/>
      <c r="I4" s="297"/>
      <c r="J4" s="297"/>
      <c r="K4" s="297"/>
      <c r="L4" s="17"/>
      <c r="M4" s="297"/>
    </row>
    <row r="5" spans="1:13" x14ac:dyDescent="0.25">
      <c r="A5" s="130" t="s">
        <v>375</v>
      </c>
      <c r="B5" s="297">
        <v>101</v>
      </c>
      <c r="C5" s="297">
        <v>83</v>
      </c>
      <c r="D5" s="297">
        <v>52</v>
      </c>
      <c r="E5" s="297">
        <v>51</v>
      </c>
      <c r="F5" s="297">
        <v>25</v>
      </c>
      <c r="G5" s="297">
        <v>21</v>
      </c>
      <c r="H5" s="297">
        <v>22</v>
      </c>
      <c r="I5" s="297">
        <v>15</v>
      </c>
      <c r="J5" s="297">
        <v>10</v>
      </c>
      <c r="K5" s="297">
        <v>9</v>
      </c>
      <c r="L5" s="187">
        <v>4</v>
      </c>
      <c r="M5" s="297">
        <v>2</v>
      </c>
    </row>
    <row r="6" spans="1:13" x14ac:dyDescent="0.25">
      <c r="A6" s="188" t="s">
        <v>185</v>
      </c>
      <c r="B6" s="297"/>
      <c r="C6" s="297"/>
      <c r="D6" s="297"/>
      <c r="E6" s="297"/>
      <c r="F6" s="297"/>
      <c r="G6" s="297"/>
      <c r="H6" s="297"/>
      <c r="I6" s="297"/>
      <c r="J6" s="297"/>
      <c r="K6" s="297"/>
      <c r="L6" s="17"/>
      <c r="M6" s="297"/>
    </row>
    <row r="7" spans="1:13" x14ac:dyDescent="0.25">
      <c r="A7" s="301" t="s">
        <v>186</v>
      </c>
      <c r="B7" s="297"/>
      <c r="C7" s="297"/>
      <c r="D7" s="297"/>
      <c r="E7" s="297"/>
      <c r="F7" s="297"/>
      <c r="G7" s="297"/>
      <c r="H7" s="297"/>
      <c r="I7" s="297"/>
      <c r="J7" s="297"/>
      <c r="K7" s="297"/>
      <c r="L7" s="17"/>
      <c r="M7" s="297"/>
    </row>
    <row r="8" spans="1:13" x14ac:dyDescent="0.25">
      <c r="A8" s="188" t="s">
        <v>187</v>
      </c>
      <c r="B8" s="297"/>
      <c r="C8" s="297"/>
      <c r="D8" s="297"/>
      <c r="E8" s="297"/>
      <c r="F8" s="297"/>
      <c r="G8" s="297"/>
      <c r="H8" s="297"/>
      <c r="I8" s="297"/>
      <c r="J8" s="297"/>
      <c r="K8" s="297"/>
      <c r="L8" s="17"/>
      <c r="M8" s="297"/>
    </row>
    <row r="9" spans="1:13" x14ac:dyDescent="0.25">
      <c r="A9" s="301" t="s">
        <v>188</v>
      </c>
      <c r="B9" s="297"/>
      <c r="C9" s="297"/>
      <c r="D9" s="297"/>
      <c r="E9" s="297"/>
      <c r="F9" s="297"/>
      <c r="G9" s="297"/>
      <c r="H9" s="297"/>
      <c r="I9" s="297"/>
      <c r="J9" s="297"/>
      <c r="K9" s="297"/>
      <c r="L9" s="17"/>
      <c r="M9" s="297"/>
    </row>
    <row r="10" spans="1:13" x14ac:dyDescent="0.25">
      <c r="A10" s="301" t="s">
        <v>189</v>
      </c>
      <c r="B10" s="297"/>
      <c r="C10" s="297"/>
      <c r="D10" s="297"/>
      <c r="E10" s="297"/>
      <c r="F10" s="297"/>
      <c r="G10" s="297"/>
      <c r="H10" s="297"/>
      <c r="I10" s="297"/>
      <c r="J10" s="297"/>
      <c r="K10" s="297"/>
      <c r="L10" s="17"/>
      <c r="M10" s="297"/>
    </row>
    <row r="11" spans="1:13" x14ac:dyDescent="0.25">
      <c r="A11" s="299" t="s">
        <v>190</v>
      </c>
      <c r="B11" s="297"/>
      <c r="C11" s="297"/>
      <c r="D11" s="297"/>
      <c r="E11" s="297"/>
      <c r="F11" s="297"/>
      <c r="G11" s="297"/>
      <c r="H11" s="297"/>
      <c r="I11" s="297"/>
      <c r="J11" s="297"/>
      <c r="K11" s="297"/>
      <c r="L11" s="17"/>
      <c r="M11" s="297"/>
    </row>
    <row r="12" spans="1:13" x14ac:dyDescent="0.25">
      <c r="A12" s="299"/>
      <c r="B12" s="297"/>
      <c r="C12" s="297"/>
      <c r="D12" s="297"/>
      <c r="E12" s="297"/>
      <c r="F12" s="297"/>
      <c r="G12" s="297"/>
      <c r="H12" s="297"/>
      <c r="I12" s="297"/>
      <c r="J12" s="297"/>
      <c r="K12" s="297"/>
      <c r="L12" s="17"/>
      <c r="M12" s="297"/>
    </row>
    <row r="13" spans="1:13" x14ac:dyDescent="0.25">
      <c r="A13" s="130" t="s">
        <v>295</v>
      </c>
      <c r="B13" s="297"/>
      <c r="C13" s="297"/>
      <c r="D13" s="297"/>
      <c r="E13" s="297"/>
      <c r="F13" s="297"/>
      <c r="G13" s="297"/>
      <c r="H13" s="297"/>
      <c r="I13" s="297"/>
      <c r="J13" s="297"/>
      <c r="K13" s="297"/>
      <c r="L13" s="17"/>
      <c r="M13" s="297"/>
    </row>
    <row r="14" spans="1:13" x14ac:dyDescent="0.25">
      <c r="A14" s="301" t="s">
        <v>376</v>
      </c>
      <c r="B14" s="297">
        <v>8</v>
      </c>
      <c r="C14" s="297">
        <v>8</v>
      </c>
      <c r="D14" s="297">
        <v>6</v>
      </c>
      <c r="E14" s="297">
        <v>6</v>
      </c>
      <c r="F14" s="297">
        <v>3</v>
      </c>
      <c r="G14" s="297">
        <v>3</v>
      </c>
      <c r="H14" s="297">
        <v>3</v>
      </c>
      <c r="I14" s="297">
        <v>3</v>
      </c>
      <c r="J14" s="297">
        <v>2</v>
      </c>
      <c r="K14" s="297">
        <v>1</v>
      </c>
      <c r="L14" s="187">
        <v>1</v>
      </c>
      <c r="M14" s="297">
        <v>1</v>
      </c>
    </row>
    <row r="15" spans="1:13" x14ac:dyDescent="0.25">
      <c r="A15" s="188" t="s">
        <v>377</v>
      </c>
      <c r="B15" s="297">
        <v>4</v>
      </c>
      <c r="C15" s="297">
        <v>4</v>
      </c>
      <c r="D15" s="297">
        <v>3</v>
      </c>
      <c r="E15" s="297">
        <v>3</v>
      </c>
      <c r="F15" s="297">
        <v>2</v>
      </c>
      <c r="G15" s="297">
        <v>2</v>
      </c>
      <c r="H15" s="297">
        <v>2</v>
      </c>
      <c r="I15" s="297">
        <v>2</v>
      </c>
      <c r="J15" s="297">
        <v>1</v>
      </c>
      <c r="K15" s="297">
        <v>1</v>
      </c>
      <c r="L15" s="187">
        <v>1</v>
      </c>
      <c r="M15" s="297">
        <v>1</v>
      </c>
    </row>
    <row r="16" spans="1:13" x14ac:dyDescent="0.25">
      <c r="A16" s="301" t="s">
        <v>378</v>
      </c>
      <c r="B16" s="297">
        <v>2</v>
      </c>
      <c r="C16" s="297">
        <v>2</v>
      </c>
      <c r="D16" s="297">
        <v>1</v>
      </c>
      <c r="E16" s="297">
        <v>1</v>
      </c>
      <c r="F16" s="297">
        <v>1</v>
      </c>
      <c r="G16" s="297">
        <v>1</v>
      </c>
      <c r="H16" s="297">
        <v>1</v>
      </c>
      <c r="I16" s="297">
        <v>1</v>
      </c>
      <c r="J16" s="297" t="s">
        <v>128</v>
      </c>
      <c r="K16" s="297" t="s">
        <v>128</v>
      </c>
      <c r="L16" s="297" t="s">
        <v>128</v>
      </c>
      <c r="M16" s="297" t="s">
        <v>128</v>
      </c>
    </row>
    <row r="17" spans="1:13" x14ac:dyDescent="0.25">
      <c r="A17" s="301" t="s">
        <v>379</v>
      </c>
      <c r="B17" s="297">
        <v>2</v>
      </c>
      <c r="C17" s="297">
        <v>2</v>
      </c>
      <c r="D17" s="297">
        <v>1</v>
      </c>
      <c r="E17" s="297">
        <v>1</v>
      </c>
      <c r="F17" s="297">
        <v>1</v>
      </c>
      <c r="G17" s="297">
        <v>1</v>
      </c>
      <c r="H17" s="297">
        <v>1</v>
      </c>
      <c r="I17" s="297">
        <v>1</v>
      </c>
      <c r="J17" s="297" t="s">
        <v>128</v>
      </c>
      <c r="K17" s="297" t="s">
        <v>128</v>
      </c>
      <c r="L17" s="297" t="s">
        <v>128</v>
      </c>
      <c r="M17" s="297" t="s">
        <v>128</v>
      </c>
    </row>
    <row r="18" spans="1:13" x14ac:dyDescent="0.25">
      <c r="A18" s="332" t="s">
        <v>380</v>
      </c>
      <c r="B18" s="297">
        <v>60</v>
      </c>
      <c r="C18" s="297">
        <v>60</v>
      </c>
      <c r="D18" s="297">
        <v>60</v>
      </c>
      <c r="E18" s="297">
        <v>50</v>
      </c>
      <c r="F18" s="297">
        <v>50</v>
      </c>
      <c r="G18" s="297">
        <v>50</v>
      </c>
      <c r="H18" s="297">
        <v>50</v>
      </c>
      <c r="I18" s="297">
        <v>50</v>
      </c>
      <c r="J18" s="297">
        <v>25</v>
      </c>
      <c r="K18" s="297">
        <v>15</v>
      </c>
      <c r="L18" s="187">
        <v>15</v>
      </c>
      <c r="M18" s="297">
        <v>15</v>
      </c>
    </row>
    <row r="19" spans="1:13" x14ac:dyDescent="0.25">
      <c r="A19" s="332" t="s">
        <v>381</v>
      </c>
      <c r="B19" s="297">
        <v>20</v>
      </c>
      <c r="C19" s="297">
        <v>20</v>
      </c>
      <c r="D19" s="297">
        <v>20</v>
      </c>
      <c r="E19" s="297">
        <v>20</v>
      </c>
      <c r="F19" s="297">
        <v>20</v>
      </c>
      <c r="G19" s="297">
        <v>20</v>
      </c>
      <c r="H19" s="297">
        <v>20</v>
      </c>
      <c r="I19" s="297">
        <v>20</v>
      </c>
      <c r="J19" s="297">
        <v>10</v>
      </c>
      <c r="K19" s="297">
        <v>7</v>
      </c>
      <c r="L19" s="187">
        <v>6</v>
      </c>
      <c r="M19" s="297">
        <v>5</v>
      </c>
    </row>
    <row r="20" spans="1:13" x14ac:dyDescent="0.25">
      <c r="A20" s="332"/>
      <c r="B20" s="297"/>
      <c r="C20" s="297"/>
      <c r="D20" s="297"/>
      <c r="E20" s="297"/>
      <c r="F20" s="297"/>
      <c r="G20" s="297"/>
      <c r="H20" s="297"/>
      <c r="I20" s="297"/>
      <c r="J20" s="297"/>
      <c r="K20" s="297"/>
      <c r="L20" s="297"/>
      <c r="M20" s="297"/>
    </row>
    <row r="21" spans="1:13" x14ac:dyDescent="0.25">
      <c r="A21" s="130" t="s">
        <v>296</v>
      </c>
      <c r="B21" s="297"/>
      <c r="C21" s="297"/>
      <c r="D21" s="297"/>
      <c r="E21" s="297"/>
      <c r="F21" s="297"/>
      <c r="G21" s="297"/>
      <c r="H21" s="297"/>
      <c r="I21" s="297"/>
      <c r="J21" s="297"/>
      <c r="K21" s="297"/>
      <c r="L21" s="297"/>
      <c r="M21" s="297"/>
    </row>
    <row r="22" spans="1:13" ht="18" customHeight="1" x14ac:dyDescent="0.25">
      <c r="A22" s="130" t="s">
        <v>382</v>
      </c>
      <c r="B22" s="297">
        <v>8</v>
      </c>
      <c r="C22" s="297">
        <v>8</v>
      </c>
      <c r="D22" s="297">
        <v>8</v>
      </c>
      <c r="E22" s="297">
        <v>8</v>
      </c>
      <c r="F22" s="297">
        <v>6</v>
      </c>
      <c r="G22" s="297">
        <v>6</v>
      </c>
      <c r="H22" s="297">
        <v>5</v>
      </c>
      <c r="I22" s="297">
        <v>5</v>
      </c>
      <c r="J22" s="297">
        <v>3</v>
      </c>
      <c r="K22" s="297" t="s">
        <v>128</v>
      </c>
      <c r="L22" s="297" t="s">
        <v>128</v>
      </c>
      <c r="M22" s="297" t="s">
        <v>128</v>
      </c>
    </row>
    <row r="23" spans="1:13" x14ac:dyDescent="0.25">
      <c r="A23" s="188" t="s">
        <v>297</v>
      </c>
      <c r="B23" s="297"/>
      <c r="C23" s="297"/>
      <c r="D23" s="297"/>
      <c r="E23" s="297"/>
      <c r="F23" s="297"/>
      <c r="G23" s="297"/>
      <c r="H23" s="297"/>
      <c r="I23" s="297"/>
      <c r="J23" s="333" t="s">
        <v>128</v>
      </c>
      <c r="K23" s="333"/>
      <c r="L23" s="333"/>
      <c r="M23" s="333"/>
    </row>
    <row r="24" spans="1:13" x14ac:dyDescent="0.25">
      <c r="A24" s="301" t="s">
        <v>298</v>
      </c>
      <c r="B24" s="297"/>
      <c r="C24" s="297"/>
      <c r="D24" s="297"/>
      <c r="E24" s="297"/>
      <c r="F24" s="297"/>
      <c r="G24" s="297"/>
      <c r="H24" s="297"/>
      <c r="I24" s="297"/>
      <c r="J24" s="333"/>
      <c r="K24" s="333"/>
      <c r="L24" s="333"/>
      <c r="M24" s="333"/>
    </row>
    <row r="25" spans="1:13" x14ac:dyDescent="0.25">
      <c r="A25" s="188" t="s">
        <v>299</v>
      </c>
      <c r="B25" s="297"/>
      <c r="C25" s="297"/>
      <c r="D25" s="297"/>
      <c r="E25" s="297"/>
      <c r="F25" s="297"/>
      <c r="G25" s="297"/>
      <c r="H25" s="297"/>
      <c r="I25" s="297"/>
      <c r="J25" s="333" t="s">
        <v>128</v>
      </c>
      <c r="K25" s="333"/>
      <c r="L25" s="333"/>
      <c r="M25" s="333"/>
    </row>
    <row r="26" spans="1:13" x14ac:dyDescent="0.25">
      <c r="A26" s="188" t="s">
        <v>300</v>
      </c>
      <c r="B26" s="297"/>
      <c r="C26" s="297"/>
      <c r="D26" s="297"/>
      <c r="E26" s="297"/>
      <c r="F26" s="297"/>
      <c r="G26" s="297"/>
      <c r="H26" s="297"/>
      <c r="I26" s="297"/>
      <c r="J26" s="333" t="s">
        <v>128</v>
      </c>
      <c r="K26" s="333"/>
      <c r="L26" s="333"/>
      <c r="M26" s="333"/>
    </row>
    <row r="27" spans="1:13" x14ac:dyDescent="0.25">
      <c r="A27" s="188" t="s">
        <v>301</v>
      </c>
      <c r="B27" s="297"/>
      <c r="C27" s="297"/>
      <c r="D27" s="297"/>
      <c r="E27" s="297"/>
      <c r="F27" s="297"/>
      <c r="G27" s="297"/>
      <c r="H27" s="297"/>
      <c r="I27" s="297"/>
      <c r="J27" s="333"/>
      <c r="K27" s="333"/>
      <c r="L27" s="333"/>
      <c r="M27" s="333"/>
    </row>
    <row r="28" spans="1:13" x14ac:dyDescent="0.25">
      <c r="A28" s="188" t="s">
        <v>302</v>
      </c>
      <c r="B28" s="297"/>
      <c r="C28" s="297"/>
      <c r="D28" s="297"/>
      <c r="E28" s="297"/>
      <c r="F28" s="297"/>
      <c r="G28" s="297"/>
      <c r="H28" s="297"/>
      <c r="I28" s="297"/>
      <c r="J28" s="333"/>
      <c r="K28" s="333"/>
      <c r="L28" s="333"/>
      <c r="M28" s="333"/>
    </row>
    <row r="29" spans="1:13" x14ac:dyDescent="0.25">
      <c r="A29" s="188" t="s">
        <v>303</v>
      </c>
      <c r="B29" s="297"/>
      <c r="C29" s="297"/>
      <c r="D29" s="297"/>
      <c r="E29" s="297"/>
      <c r="F29" s="297"/>
      <c r="G29" s="297"/>
      <c r="H29" s="297"/>
      <c r="I29" s="297"/>
      <c r="J29" s="333"/>
      <c r="K29" s="333"/>
      <c r="L29" s="333"/>
      <c r="M29" s="333"/>
    </row>
    <row r="30" spans="1:13" x14ac:dyDescent="0.25">
      <c r="A30" s="188" t="s">
        <v>304</v>
      </c>
      <c r="B30" s="297"/>
      <c r="C30" s="297"/>
      <c r="D30" s="297"/>
      <c r="E30" s="297"/>
      <c r="F30" s="297"/>
      <c r="G30" s="297"/>
      <c r="H30" s="297"/>
      <c r="I30" s="297"/>
      <c r="J30" s="333" t="s">
        <v>128</v>
      </c>
      <c r="K30" s="333"/>
      <c r="L30" s="333"/>
      <c r="M30" s="333"/>
    </row>
    <row r="31" spans="1:13" x14ac:dyDescent="0.25">
      <c r="A31" s="188" t="s">
        <v>305</v>
      </c>
      <c r="B31" s="297"/>
      <c r="C31" s="297"/>
      <c r="D31" s="297"/>
      <c r="E31" s="297"/>
      <c r="F31" s="297"/>
      <c r="G31" s="297"/>
      <c r="H31" s="297"/>
      <c r="I31" s="297"/>
      <c r="J31" s="333"/>
      <c r="K31" s="333"/>
      <c r="L31" s="333"/>
      <c r="M31" s="333"/>
    </row>
    <row r="32" spans="1:13" x14ac:dyDescent="0.25">
      <c r="A32" s="188" t="s">
        <v>306</v>
      </c>
      <c r="B32" s="297"/>
      <c r="C32" s="297"/>
      <c r="D32" s="297"/>
      <c r="E32" s="297"/>
      <c r="F32" s="297"/>
      <c r="G32" s="297"/>
      <c r="H32" s="297"/>
      <c r="I32" s="297"/>
      <c r="J32" s="333"/>
      <c r="K32" s="333"/>
      <c r="L32" s="333"/>
      <c r="M32" s="333"/>
    </row>
    <row r="33" spans="1:13" x14ac:dyDescent="0.25">
      <c r="A33" s="298" t="s">
        <v>294</v>
      </c>
      <c r="B33" s="297"/>
      <c r="C33" s="297"/>
      <c r="D33" s="297"/>
      <c r="E33" s="297"/>
      <c r="F33" s="297"/>
      <c r="G33" s="297"/>
      <c r="H33" s="297"/>
      <c r="I33" s="297"/>
      <c r="J33" s="297"/>
      <c r="K33" s="297"/>
      <c r="L33" s="297"/>
      <c r="M33" s="297"/>
    </row>
    <row r="34" spans="1:13" x14ac:dyDescent="0.25">
      <c r="A34" s="130" t="s">
        <v>307</v>
      </c>
      <c r="B34" s="297"/>
      <c r="C34" s="297"/>
      <c r="D34" s="297"/>
      <c r="E34" s="297"/>
      <c r="F34" s="297"/>
      <c r="G34" s="297"/>
      <c r="H34" s="297"/>
      <c r="I34" s="297"/>
      <c r="J34" s="297"/>
      <c r="K34" s="297"/>
      <c r="L34" s="297"/>
      <c r="M34" s="297"/>
    </row>
    <row r="35" spans="1:13" x14ac:dyDescent="0.25">
      <c r="A35" s="130" t="s">
        <v>383</v>
      </c>
      <c r="B35" s="297">
        <v>18</v>
      </c>
      <c r="C35" s="297">
        <v>18</v>
      </c>
      <c r="D35" s="297">
        <v>18</v>
      </c>
      <c r="E35" s="297">
        <v>18</v>
      </c>
      <c r="F35" s="297">
        <v>6</v>
      </c>
      <c r="G35" s="297">
        <v>15</v>
      </c>
      <c r="H35" s="297">
        <v>3</v>
      </c>
      <c r="I35" s="297">
        <v>3</v>
      </c>
      <c r="J35" s="297">
        <v>1</v>
      </c>
      <c r="K35" s="333" t="s">
        <v>128</v>
      </c>
      <c r="L35" s="333" t="s">
        <v>128</v>
      </c>
      <c r="M35" s="333" t="s">
        <v>128</v>
      </c>
    </row>
    <row r="36" spans="1:13" s="300" customFormat="1" ht="25" x14ac:dyDescent="0.35">
      <c r="A36" s="334" t="s">
        <v>308</v>
      </c>
      <c r="B36" s="333"/>
      <c r="C36" s="333"/>
      <c r="D36" s="333"/>
      <c r="E36" s="333"/>
      <c r="F36" s="333"/>
      <c r="G36" s="333"/>
      <c r="H36" s="333"/>
      <c r="I36" s="333"/>
      <c r="J36" s="333" t="s">
        <v>128</v>
      </c>
      <c r="K36" s="333"/>
      <c r="L36" s="333"/>
      <c r="M36" s="333"/>
    </row>
    <row r="37" spans="1:13" s="300" customFormat="1" ht="21.75" customHeight="1" x14ac:dyDescent="0.35">
      <c r="A37" s="335" t="s">
        <v>309</v>
      </c>
      <c r="B37" s="333"/>
      <c r="C37" s="333"/>
      <c r="D37" s="333"/>
      <c r="E37" s="333"/>
      <c r="F37" s="333"/>
      <c r="G37" s="333"/>
      <c r="H37" s="333"/>
      <c r="I37" s="333"/>
      <c r="J37" s="333"/>
      <c r="K37" s="333"/>
      <c r="L37" s="333"/>
      <c r="M37" s="333"/>
    </row>
    <row r="38" spans="1:13" s="300" customFormat="1" ht="25" x14ac:dyDescent="0.35">
      <c r="A38" s="334" t="s">
        <v>310</v>
      </c>
      <c r="B38" s="333"/>
      <c r="C38" s="333"/>
      <c r="D38" s="333"/>
      <c r="E38" s="333"/>
      <c r="F38" s="333"/>
      <c r="G38" s="333"/>
      <c r="H38" s="333"/>
      <c r="I38" s="333"/>
      <c r="J38" s="333" t="s">
        <v>128</v>
      </c>
      <c r="K38" s="333"/>
      <c r="L38" s="333"/>
      <c r="M38" s="333"/>
    </row>
    <row r="39" spans="1:13" s="300" customFormat="1" ht="25" x14ac:dyDescent="0.35">
      <c r="A39" s="334" t="s">
        <v>311</v>
      </c>
      <c r="B39" s="333"/>
      <c r="C39" s="333"/>
      <c r="D39" s="333"/>
      <c r="E39" s="333"/>
      <c r="F39" s="333"/>
      <c r="G39" s="333"/>
      <c r="H39" s="333"/>
      <c r="I39" s="333"/>
      <c r="J39" s="333" t="s">
        <v>128</v>
      </c>
      <c r="K39" s="333"/>
      <c r="L39" s="333"/>
      <c r="M39" s="333"/>
    </row>
    <row r="40" spans="1:13" s="300" customFormat="1" ht="25" x14ac:dyDescent="0.35">
      <c r="A40" s="334" t="s">
        <v>312</v>
      </c>
      <c r="B40" s="333"/>
      <c r="C40" s="333"/>
      <c r="D40" s="333"/>
      <c r="E40" s="333"/>
      <c r="F40" s="333"/>
      <c r="G40" s="333"/>
      <c r="H40" s="333"/>
      <c r="I40" s="333"/>
      <c r="J40" s="333" t="s">
        <v>128</v>
      </c>
      <c r="K40" s="333"/>
      <c r="L40" s="333"/>
      <c r="M40" s="333"/>
    </row>
    <row r="41" spans="1:13" s="300" customFormat="1" ht="25" x14ac:dyDescent="0.35">
      <c r="A41" s="334" t="s">
        <v>313</v>
      </c>
      <c r="B41" s="333"/>
      <c r="C41" s="333"/>
      <c r="D41" s="333"/>
      <c r="E41" s="333"/>
      <c r="F41" s="333"/>
      <c r="G41" s="333"/>
      <c r="H41" s="333"/>
      <c r="I41" s="333"/>
      <c r="J41" s="333" t="s">
        <v>128</v>
      </c>
      <c r="K41" s="333"/>
      <c r="L41" s="333"/>
      <c r="M41" s="333"/>
    </row>
    <row r="42" spans="1:13" s="300" customFormat="1" ht="25" x14ac:dyDescent="0.35">
      <c r="A42" s="334" t="s">
        <v>314</v>
      </c>
      <c r="B42" s="333"/>
      <c r="C42" s="333"/>
      <c r="D42" s="333"/>
      <c r="E42" s="333"/>
      <c r="F42" s="333"/>
      <c r="G42" s="333"/>
      <c r="H42" s="333"/>
      <c r="I42" s="333"/>
      <c r="J42" s="333" t="s">
        <v>128</v>
      </c>
      <c r="K42" s="333"/>
      <c r="L42" s="333"/>
      <c r="M42" s="333"/>
    </row>
    <row r="43" spans="1:13" s="300" customFormat="1" ht="25" x14ac:dyDescent="0.35">
      <c r="A43" s="334" t="s">
        <v>315</v>
      </c>
      <c r="B43" s="333"/>
      <c r="C43" s="333"/>
      <c r="D43" s="333"/>
      <c r="E43" s="333"/>
      <c r="F43" s="333"/>
      <c r="G43" s="333"/>
      <c r="H43" s="333"/>
      <c r="I43" s="333"/>
      <c r="J43" s="333" t="s">
        <v>128</v>
      </c>
      <c r="K43" s="333"/>
      <c r="L43" s="333"/>
      <c r="M43" s="333"/>
    </row>
    <row r="44" spans="1:13" s="300" customFormat="1" ht="25" x14ac:dyDescent="0.35">
      <c r="A44" s="334" t="s">
        <v>316</v>
      </c>
      <c r="B44" s="333"/>
      <c r="C44" s="333"/>
      <c r="D44" s="333"/>
      <c r="E44" s="333"/>
      <c r="F44" s="333"/>
      <c r="G44" s="333"/>
      <c r="H44" s="333"/>
      <c r="I44" s="333"/>
      <c r="J44" s="333" t="s">
        <v>128</v>
      </c>
      <c r="K44" s="333"/>
      <c r="L44" s="333"/>
      <c r="M44" s="333"/>
    </row>
    <row r="45" spans="1:13" s="300" customFormat="1" ht="25" x14ac:dyDescent="0.35">
      <c r="A45" s="334" t="s">
        <v>317</v>
      </c>
      <c r="B45" s="333"/>
      <c r="C45" s="333"/>
      <c r="D45" s="333"/>
      <c r="E45" s="333"/>
      <c r="F45" s="333"/>
      <c r="G45" s="333"/>
      <c r="H45" s="333"/>
      <c r="I45" s="333"/>
      <c r="J45" s="333" t="s">
        <v>128</v>
      </c>
      <c r="K45" s="333"/>
      <c r="L45" s="333"/>
      <c r="M45" s="333"/>
    </row>
    <row r="46" spans="1:13" s="300" customFormat="1" ht="25" x14ac:dyDescent="0.35">
      <c r="A46" s="334" t="s">
        <v>318</v>
      </c>
      <c r="B46" s="333"/>
      <c r="C46" s="333"/>
      <c r="D46" s="333"/>
      <c r="E46" s="333"/>
      <c r="F46" s="333"/>
      <c r="G46" s="333"/>
      <c r="H46" s="333"/>
      <c r="I46" s="333"/>
      <c r="J46" s="333" t="s">
        <v>128</v>
      </c>
      <c r="K46" s="333"/>
      <c r="L46" s="333"/>
      <c r="M46" s="333"/>
    </row>
    <row r="47" spans="1:13" s="300" customFormat="1" ht="25" x14ac:dyDescent="0.35">
      <c r="A47" s="334" t="s">
        <v>319</v>
      </c>
      <c r="B47" s="333"/>
      <c r="C47" s="333"/>
      <c r="D47" s="333"/>
      <c r="E47" s="333"/>
      <c r="F47" s="333"/>
      <c r="G47" s="333"/>
      <c r="H47" s="333"/>
      <c r="I47" s="333"/>
      <c r="J47" s="333" t="s">
        <v>128</v>
      </c>
      <c r="K47" s="333"/>
      <c r="L47" s="333"/>
      <c r="M47" s="333"/>
    </row>
    <row r="48" spans="1:13" s="300" customFormat="1" x14ac:dyDescent="0.35">
      <c r="A48" s="334" t="s">
        <v>320</v>
      </c>
      <c r="B48" s="333"/>
      <c r="C48" s="333"/>
      <c r="D48" s="333"/>
      <c r="E48" s="333"/>
      <c r="F48" s="333"/>
      <c r="G48" s="333"/>
      <c r="H48" s="333"/>
      <c r="I48" s="333"/>
      <c r="J48" s="333" t="s">
        <v>128</v>
      </c>
      <c r="K48" s="333"/>
      <c r="L48" s="333"/>
      <c r="M48" s="333"/>
    </row>
    <row r="49" spans="1:13" s="300" customFormat="1" ht="25" x14ac:dyDescent="0.35">
      <c r="A49" s="334" t="s">
        <v>321</v>
      </c>
      <c r="B49" s="333"/>
      <c r="C49" s="333"/>
      <c r="D49" s="333"/>
      <c r="E49" s="333"/>
      <c r="F49" s="333"/>
      <c r="G49" s="333"/>
      <c r="H49" s="333"/>
      <c r="I49" s="333"/>
      <c r="J49" s="333" t="s">
        <v>128</v>
      </c>
      <c r="K49" s="333"/>
      <c r="L49" s="333"/>
      <c r="M49" s="333"/>
    </row>
    <row r="50" spans="1:13" s="300" customFormat="1" ht="25" x14ac:dyDescent="0.35">
      <c r="A50" s="334" t="s">
        <v>322</v>
      </c>
      <c r="B50" s="333"/>
      <c r="C50" s="333"/>
      <c r="D50" s="333"/>
      <c r="E50" s="333"/>
      <c r="F50" s="333"/>
      <c r="G50" s="333"/>
      <c r="H50" s="333"/>
      <c r="I50" s="333"/>
      <c r="J50" s="333" t="s">
        <v>128</v>
      </c>
      <c r="K50" s="333"/>
      <c r="L50" s="333"/>
      <c r="M50" s="333"/>
    </row>
    <row r="51" spans="1:13" s="300" customFormat="1" ht="25" x14ac:dyDescent="0.35">
      <c r="A51" s="334" t="s">
        <v>323</v>
      </c>
      <c r="B51" s="333"/>
      <c r="C51" s="333"/>
      <c r="D51" s="333"/>
      <c r="E51" s="333"/>
      <c r="F51" s="333"/>
      <c r="G51" s="333"/>
      <c r="H51" s="333"/>
      <c r="I51" s="333"/>
      <c r="J51" s="333" t="s">
        <v>128</v>
      </c>
      <c r="K51" s="333"/>
      <c r="L51" s="333"/>
      <c r="M51" s="333"/>
    </row>
    <row r="52" spans="1:13" s="300" customFormat="1" ht="25" x14ac:dyDescent="0.35">
      <c r="A52" s="334" t="s">
        <v>324</v>
      </c>
      <c r="B52" s="333"/>
      <c r="C52" s="333"/>
      <c r="D52" s="333"/>
      <c r="E52" s="333"/>
      <c r="F52" s="333"/>
      <c r="G52" s="333"/>
      <c r="H52" s="333"/>
      <c r="I52" s="333"/>
      <c r="J52" s="333" t="s">
        <v>128</v>
      </c>
      <c r="K52" s="333"/>
      <c r="L52" s="333"/>
      <c r="M52" s="333"/>
    </row>
    <row r="53" spans="1:13" s="300" customFormat="1" ht="25" x14ac:dyDescent="0.35">
      <c r="A53" s="334" t="s">
        <v>325</v>
      </c>
      <c r="B53" s="333"/>
      <c r="C53" s="333"/>
      <c r="D53" s="333"/>
      <c r="E53" s="333"/>
      <c r="F53" s="333"/>
      <c r="G53" s="333"/>
      <c r="H53" s="333"/>
      <c r="I53" s="333"/>
      <c r="J53" s="333" t="s">
        <v>128</v>
      </c>
      <c r="K53" s="333"/>
      <c r="L53" s="333"/>
      <c r="M53" s="333"/>
    </row>
    <row r="54" spans="1:13" s="300" customFormat="1" ht="25" x14ac:dyDescent="0.35">
      <c r="A54" s="334" t="s">
        <v>326</v>
      </c>
      <c r="B54" s="333"/>
      <c r="C54" s="333"/>
      <c r="D54" s="333"/>
      <c r="E54" s="333"/>
      <c r="F54" s="333"/>
      <c r="G54" s="333"/>
      <c r="H54" s="333"/>
      <c r="I54" s="333"/>
      <c r="J54" s="333"/>
      <c r="K54" s="333"/>
      <c r="L54" s="333"/>
      <c r="M54" s="333"/>
    </row>
    <row r="55" spans="1:13" s="300" customFormat="1" ht="21.75" customHeight="1" x14ac:dyDescent="0.35">
      <c r="A55" s="336" t="s">
        <v>327</v>
      </c>
      <c r="B55" s="333"/>
      <c r="C55" s="333"/>
      <c r="D55" s="333"/>
      <c r="E55" s="333"/>
      <c r="F55" s="333"/>
      <c r="G55" s="333"/>
      <c r="H55" s="333"/>
      <c r="I55" s="333"/>
      <c r="J55" s="333"/>
      <c r="K55" s="333"/>
      <c r="L55" s="333"/>
      <c r="M55" s="333"/>
    </row>
    <row r="56" spans="1:13" x14ac:dyDescent="0.25">
      <c r="A56" s="298"/>
      <c r="B56" s="297"/>
      <c r="C56" s="297"/>
      <c r="D56" s="297"/>
      <c r="E56" s="297"/>
      <c r="F56" s="297"/>
      <c r="G56" s="297"/>
      <c r="H56" s="297"/>
      <c r="I56" s="297"/>
      <c r="J56" s="297"/>
      <c r="K56" s="297"/>
      <c r="L56" s="297"/>
      <c r="M56" s="297"/>
    </row>
    <row r="57" spans="1:13" ht="14.5" x14ac:dyDescent="0.35">
      <c r="A57" s="343" t="s">
        <v>453</v>
      </c>
      <c r="B57" s="139" t="s">
        <v>77</v>
      </c>
      <c r="C57" s="344">
        <v>101</v>
      </c>
      <c r="D57"/>
      <c r="E57"/>
      <c r="F57"/>
      <c r="G57"/>
      <c r="H57"/>
      <c r="I57"/>
      <c r="J57"/>
      <c r="K57"/>
      <c r="L57" s="297"/>
      <c r="M57" s="297"/>
    </row>
    <row r="58" spans="1:13" ht="14.5" x14ac:dyDescent="0.35">
      <c r="A58"/>
      <c r="B58" s="139" t="s">
        <v>389</v>
      </c>
      <c r="C58" s="344">
        <v>83</v>
      </c>
      <c r="D58"/>
      <c r="E58"/>
      <c r="F58"/>
      <c r="G58"/>
      <c r="H58"/>
      <c r="I58"/>
      <c r="J58"/>
      <c r="K58"/>
    </row>
    <row r="59" spans="1:13" ht="14.5" x14ac:dyDescent="0.35">
      <c r="A59"/>
      <c r="B59" s="139" t="s">
        <v>184</v>
      </c>
      <c r="C59" s="344">
        <v>52</v>
      </c>
      <c r="D59"/>
      <c r="E59"/>
      <c r="F59"/>
      <c r="G59"/>
      <c r="H59"/>
      <c r="I59"/>
      <c r="J59"/>
      <c r="K59"/>
    </row>
    <row r="60" spans="1:13" ht="14.5" x14ac:dyDescent="0.35">
      <c r="A60"/>
      <c r="B60" s="139" t="s">
        <v>183</v>
      </c>
      <c r="C60" s="344">
        <v>51</v>
      </c>
      <c r="D60"/>
      <c r="E60"/>
      <c r="F60"/>
      <c r="G60"/>
      <c r="H60"/>
      <c r="I60"/>
      <c r="J60"/>
      <c r="K60"/>
    </row>
    <row r="61" spans="1:13" ht="14.5" x14ac:dyDescent="0.35">
      <c r="A61"/>
      <c r="B61" s="139" t="s">
        <v>94</v>
      </c>
      <c r="C61" s="344">
        <v>25</v>
      </c>
      <c r="D61"/>
      <c r="E61"/>
      <c r="F61"/>
      <c r="G61"/>
      <c r="H61"/>
      <c r="I61"/>
      <c r="J61"/>
      <c r="K61"/>
    </row>
    <row r="62" spans="1:13" ht="14.5" x14ac:dyDescent="0.35">
      <c r="A62"/>
      <c r="B62" s="139" t="s">
        <v>385</v>
      </c>
      <c r="C62" s="344">
        <v>21</v>
      </c>
      <c r="D62"/>
      <c r="E62"/>
      <c r="F62"/>
      <c r="G62"/>
      <c r="H62"/>
      <c r="I62"/>
      <c r="J62"/>
      <c r="K62"/>
    </row>
    <row r="63" spans="1:13" ht="14.5" x14ac:dyDescent="0.35">
      <c r="A63"/>
      <c r="B63" s="139" t="s">
        <v>182</v>
      </c>
      <c r="C63" s="344">
        <v>21</v>
      </c>
      <c r="D63"/>
      <c r="E63"/>
      <c r="F63"/>
      <c r="G63"/>
      <c r="H63"/>
      <c r="I63"/>
      <c r="J63"/>
      <c r="K63"/>
    </row>
    <row r="64" spans="1:13" ht="14.5" x14ac:dyDescent="0.35">
      <c r="A64"/>
      <c r="B64" s="139" t="s">
        <v>373</v>
      </c>
      <c r="C64" s="344">
        <v>22</v>
      </c>
      <c r="D64"/>
      <c r="E64"/>
      <c r="F64"/>
      <c r="G64"/>
      <c r="H64"/>
      <c r="I64"/>
      <c r="J64"/>
      <c r="K64"/>
    </row>
    <row r="65" spans="1:11" ht="14.5" x14ac:dyDescent="0.35">
      <c r="A65"/>
      <c r="B65" s="139" t="s">
        <v>181</v>
      </c>
      <c r="C65" s="344">
        <v>15</v>
      </c>
      <c r="D65"/>
      <c r="E65"/>
      <c r="F65"/>
      <c r="G65"/>
      <c r="H65"/>
      <c r="I65"/>
      <c r="J65"/>
      <c r="K65"/>
    </row>
    <row r="66" spans="1:11" ht="14.5" x14ac:dyDescent="0.35">
      <c r="A66"/>
      <c r="B66" s="139" t="s">
        <v>86</v>
      </c>
      <c r="C66" s="344">
        <v>10</v>
      </c>
      <c r="D66"/>
      <c r="E66"/>
      <c r="F66"/>
      <c r="G66"/>
      <c r="H66"/>
      <c r="I66"/>
      <c r="J66"/>
      <c r="K66"/>
    </row>
    <row r="67" spans="1:11" ht="14.5" x14ac:dyDescent="0.35">
      <c r="A67"/>
      <c r="B67" s="139" t="s">
        <v>374</v>
      </c>
      <c r="C67" s="344">
        <v>9</v>
      </c>
      <c r="D67"/>
      <c r="E67"/>
      <c r="F67"/>
      <c r="G67"/>
      <c r="H67"/>
      <c r="I67"/>
      <c r="J67"/>
      <c r="K67"/>
    </row>
    <row r="68" spans="1:11" ht="14.5" x14ac:dyDescent="0.35">
      <c r="A68"/>
      <c r="B68" s="139" t="s">
        <v>88</v>
      </c>
      <c r="C68" s="345">
        <v>4</v>
      </c>
      <c r="D68"/>
      <c r="E68"/>
      <c r="F68"/>
      <c r="G68"/>
      <c r="H68"/>
      <c r="I68"/>
      <c r="J68"/>
      <c r="K68"/>
    </row>
    <row r="69" spans="1:11" ht="14.5" x14ac:dyDescent="0.35">
      <c r="A69"/>
      <c r="B69" s="139" t="s">
        <v>423</v>
      </c>
      <c r="C69" s="344">
        <v>2</v>
      </c>
      <c r="D69"/>
      <c r="E69"/>
      <c r="F69"/>
      <c r="G69"/>
      <c r="H69"/>
      <c r="I69"/>
      <c r="J69"/>
      <c r="K69"/>
    </row>
    <row r="70" spans="1:11" ht="14.5" x14ac:dyDescent="0.35">
      <c r="A70"/>
      <c r="B70"/>
      <c r="C70"/>
      <c r="D70"/>
      <c r="E70"/>
      <c r="F70"/>
      <c r="G70"/>
      <c r="H70"/>
      <c r="I70"/>
      <c r="J70"/>
      <c r="K70"/>
    </row>
    <row r="71" spans="1:11" ht="101" x14ac:dyDescent="0.35">
      <c r="A71" s="343" t="s">
        <v>454</v>
      </c>
      <c r="B71"/>
      <c r="C71" s="186" t="s">
        <v>376</v>
      </c>
      <c r="D71" s="186" t="s">
        <v>377</v>
      </c>
      <c r="E71" s="186" t="s">
        <v>378</v>
      </c>
      <c r="F71" s="186" t="s">
        <v>379</v>
      </c>
      <c r="G71" s="346" t="s">
        <v>380</v>
      </c>
      <c r="H71" s="346" t="s">
        <v>381</v>
      </c>
      <c r="I71"/>
      <c r="J71"/>
      <c r="K71"/>
    </row>
    <row r="72" spans="1:11" ht="14.5" x14ac:dyDescent="0.35">
      <c r="A72" s="301" t="s">
        <v>376</v>
      </c>
      <c r="B72" s="139" t="s">
        <v>77</v>
      </c>
      <c r="C72" s="344">
        <v>8</v>
      </c>
      <c r="D72" s="344">
        <v>4</v>
      </c>
      <c r="E72" s="344">
        <v>2</v>
      </c>
      <c r="F72" s="344">
        <v>2</v>
      </c>
      <c r="G72" s="344">
        <v>60</v>
      </c>
      <c r="H72" s="344">
        <v>20</v>
      </c>
      <c r="I72"/>
      <c r="J72"/>
      <c r="K72"/>
    </row>
    <row r="73" spans="1:11" ht="14.5" x14ac:dyDescent="0.35">
      <c r="A73" s="188" t="s">
        <v>377</v>
      </c>
      <c r="B73" s="139" t="s">
        <v>389</v>
      </c>
      <c r="C73" s="344">
        <v>8</v>
      </c>
      <c r="D73" s="344">
        <v>4</v>
      </c>
      <c r="E73" s="344">
        <v>2</v>
      </c>
      <c r="F73" s="344">
        <v>2</v>
      </c>
      <c r="G73" s="344">
        <v>60</v>
      </c>
      <c r="H73" s="344">
        <v>20</v>
      </c>
      <c r="I73"/>
      <c r="J73"/>
      <c r="K73"/>
    </row>
    <row r="74" spans="1:11" ht="14.5" x14ac:dyDescent="0.35">
      <c r="A74" s="301" t="s">
        <v>378</v>
      </c>
      <c r="B74" s="139" t="s">
        <v>184</v>
      </c>
      <c r="C74" s="344">
        <v>6</v>
      </c>
      <c r="D74" s="344">
        <v>3</v>
      </c>
      <c r="E74" s="344">
        <v>1</v>
      </c>
      <c r="F74" s="344">
        <v>1</v>
      </c>
      <c r="G74" s="344">
        <v>60</v>
      </c>
      <c r="H74" s="344">
        <v>20</v>
      </c>
      <c r="I74"/>
      <c r="J74"/>
      <c r="K74"/>
    </row>
    <row r="75" spans="1:11" ht="14.5" x14ac:dyDescent="0.35">
      <c r="A75" s="301" t="s">
        <v>379</v>
      </c>
      <c r="B75" s="139" t="s">
        <v>183</v>
      </c>
      <c r="C75" s="344">
        <v>6</v>
      </c>
      <c r="D75" s="344">
        <v>3</v>
      </c>
      <c r="E75" s="344">
        <v>1</v>
      </c>
      <c r="F75" s="344">
        <v>1</v>
      </c>
      <c r="G75" s="344">
        <v>50</v>
      </c>
      <c r="H75" s="344">
        <v>20</v>
      </c>
      <c r="I75"/>
      <c r="J75"/>
      <c r="K75"/>
    </row>
    <row r="76" spans="1:11" ht="14.5" x14ac:dyDescent="0.35">
      <c r="A76" s="332" t="s">
        <v>380</v>
      </c>
      <c r="B76" s="139" t="s">
        <v>94</v>
      </c>
      <c r="C76" s="344">
        <v>3</v>
      </c>
      <c r="D76" s="344">
        <v>2</v>
      </c>
      <c r="E76" s="344">
        <v>1</v>
      </c>
      <c r="F76" s="344">
        <v>1</v>
      </c>
      <c r="G76" s="344">
        <v>50</v>
      </c>
      <c r="H76" s="344">
        <v>20</v>
      </c>
      <c r="I76"/>
      <c r="J76"/>
      <c r="K76"/>
    </row>
    <row r="77" spans="1:11" ht="14.5" x14ac:dyDescent="0.35">
      <c r="A77" s="332" t="s">
        <v>381</v>
      </c>
      <c r="B77" s="139" t="s">
        <v>385</v>
      </c>
      <c r="C77" s="344">
        <v>3</v>
      </c>
      <c r="D77" s="344">
        <v>2</v>
      </c>
      <c r="E77" s="344">
        <v>1</v>
      </c>
      <c r="F77" s="344">
        <v>1</v>
      </c>
      <c r="G77" s="344">
        <v>50</v>
      </c>
      <c r="H77" s="344">
        <v>20</v>
      </c>
      <c r="I77"/>
      <c r="J77"/>
      <c r="K77"/>
    </row>
    <row r="78" spans="1:11" ht="14.5" x14ac:dyDescent="0.35">
      <c r="A78"/>
      <c r="B78" s="139" t="s">
        <v>182</v>
      </c>
      <c r="C78" s="344">
        <v>3</v>
      </c>
      <c r="D78" s="344">
        <v>2</v>
      </c>
      <c r="E78" s="344">
        <v>1</v>
      </c>
      <c r="F78" s="344">
        <v>1</v>
      </c>
      <c r="G78" s="344">
        <v>50</v>
      </c>
      <c r="H78" s="344">
        <v>20</v>
      </c>
      <c r="I78"/>
      <c r="J78"/>
      <c r="K78"/>
    </row>
    <row r="79" spans="1:11" ht="14.5" x14ac:dyDescent="0.35">
      <c r="A79"/>
      <c r="B79" s="139" t="s">
        <v>373</v>
      </c>
      <c r="C79" s="344">
        <v>3</v>
      </c>
      <c r="D79" s="344">
        <v>2</v>
      </c>
      <c r="E79" s="344">
        <v>1</v>
      </c>
      <c r="F79" s="344">
        <v>1</v>
      </c>
      <c r="G79" s="344">
        <v>50</v>
      </c>
      <c r="H79" s="344">
        <v>20</v>
      </c>
      <c r="I79"/>
      <c r="J79"/>
      <c r="K79"/>
    </row>
    <row r="80" spans="1:11" ht="14.5" x14ac:dyDescent="0.35">
      <c r="A80"/>
      <c r="B80" s="139" t="s">
        <v>181</v>
      </c>
      <c r="C80" s="344">
        <v>3</v>
      </c>
      <c r="D80" s="344">
        <v>2</v>
      </c>
      <c r="E80" s="344">
        <v>1</v>
      </c>
      <c r="F80" s="344">
        <v>1</v>
      </c>
      <c r="G80" s="344">
        <v>50</v>
      </c>
      <c r="H80" s="344">
        <v>20</v>
      </c>
      <c r="I80"/>
      <c r="J80"/>
      <c r="K80"/>
    </row>
    <row r="81" spans="1:11" ht="14.5" x14ac:dyDescent="0.35">
      <c r="A81"/>
      <c r="B81" s="139" t="s">
        <v>86</v>
      </c>
      <c r="C81" s="344">
        <v>2</v>
      </c>
      <c r="D81" s="344">
        <v>1</v>
      </c>
      <c r="E81" s="344" t="s">
        <v>128</v>
      </c>
      <c r="F81" s="344" t="s">
        <v>128</v>
      </c>
      <c r="G81" s="344">
        <v>25</v>
      </c>
      <c r="H81" s="344">
        <v>10</v>
      </c>
      <c r="I81"/>
      <c r="J81"/>
      <c r="K81"/>
    </row>
    <row r="82" spans="1:11" ht="14.5" x14ac:dyDescent="0.35">
      <c r="A82"/>
      <c r="B82" s="139" t="s">
        <v>374</v>
      </c>
      <c r="C82" s="344">
        <v>1</v>
      </c>
      <c r="D82" s="344">
        <v>1</v>
      </c>
      <c r="E82" s="344" t="s">
        <v>128</v>
      </c>
      <c r="F82" s="344" t="s">
        <v>128</v>
      </c>
      <c r="G82" s="344">
        <v>15</v>
      </c>
      <c r="H82" s="344">
        <v>7</v>
      </c>
      <c r="I82"/>
      <c r="J82"/>
      <c r="K82"/>
    </row>
    <row r="83" spans="1:11" ht="14.5" x14ac:dyDescent="0.35">
      <c r="A83"/>
      <c r="B83" s="139" t="s">
        <v>88</v>
      </c>
      <c r="C83" s="345">
        <v>1</v>
      </c>
      <c r="D83" s="345">
        <v>1</v>
      </c>
      <c r="E83" s="344" t="s">
        <v>128</v>
      </c>
      <c r="F83" s="344" t="s">
        <v>128</v>
      </c>
      <c r="G83" s="345">
        <v>15</v>
      </c>
      <c r="H83" s="345">
        <v>6</v>
      </c>
      <c r="I83"/>
      <c r="J83"/>
      <c r="K83"/>
    </row>
    <row r="84" spans="1:11" ht="14.5" x14ac:dyDescent="0.35">
      <c r="A84"/>
      <c r="B84" s="139" t="s">
        <v>423</v>
      </c>
      <c r="C84" s="344">
        <v>1</v>
      </c>
      <c r="D84" s="344">
        <v>1</v>
      </c>
      <c r="E84" s="344" t="s">
        <v>128</v>
      </c>
      <c r="F84" s="344" t="s">
        <v>128</v>
      </c>
      <c r="G84" s="344">
        <v>15</v>
      </c>
      <c r="H84" s="344">
        <v>5</v>
      </c>
      <c r="I84"/>
      <c r="J84"/>
      <c r="K84"/>
    </row>
    <row r="85" spans="1:11" ht="14.5" x14ac:dyDescent="0.35">
      <c r="A85"/>
      <c r="B85"/>
      <c r="C85"/>
      <c r="D85"/>
      <c r="E85"/>
      <c r="F85"/>
      <c r="G85"/>
      <c r="H85"/>
      <c r="I85"/>
      <c r="J85"/>
      <c r="K85"/>
    </row>
    <row r="86" spans="1:11" ht="14.5" x14ac:dyDescent="0.35">
      <c r="A86" s="343" t="s">
        <v>455</v>
      </c>
      <c r="B86" s="139" t="s">
        <v>77</v>
      </c>
      <c r="C86" s="344">
        <v>8</v>
      </c>
      <c r="D86"/>
      <c r="E86"/>
      <c r="F86"/>
      <c r="G86"/>
      <c r="H86"/>
      <c r="I86"/>
      <c r="J86"/>
      <c r="K86"/>
    </row>
    <row r="87" spans="1:11" ht="14.5" x14ac:dyDescent="0.35">
      <c r="A87"/>
      <c r="B87" s="139" t="s">
        <v>389</v>
      </c>
      <c r="C87" s="344">
        <v>8</v>
      </c>
      <c r="D87"/>
      <c r="E87"/>
      <c r="F87"/>
      <c r="G87"/>
      <c r="H87"/>
      <c r="I87"/>
      <c r="J87"/>
      <c r="K87"/>
    </row>
    <row r="88" spans="1:11" ht="14.5" x14ac:dyDescent="0.35">
      <c r="A88"/>
      <c r="B88" s="139" t="s">
        <v>184</v>
      </c>
      <c r="C88" s="344">
        <v>8</v>
      </c>
      <c r="D88"/>
      <c r="E88"/>
      <c r="F88"/>
      <c r="G88"/>
      <c r="H88"/>
      <c r="I88"/>
      <c r="J88"/>
      <c r="K88"/>
    </row>
    <row r="89" spans="1:11" ht="14.5" x14ac:dyDescent="0.35">
      <c r="A89"/>
      <c r="B89" s="139" t="s">
        <v>183</v>
      </c>
      <c r="C89" s="344">
        <v>8</v>
      </c>
      <c r="D89"/>
      <c r="E89"/>
      <c r="F89"/>
      <c r="G89"/>
      <c r="H89"/>
      <c r="I89"/>
      <c r="J89"/>
      <c r="K89"/>
    </row>
    <row r="90" spans="1:11" ht="14.5" x14ac:dyDescent="0.35">
      <c r="A90"/>
      <c r="B90" s="139" t="s">
        <v>94</v>
      </c>
      <c r="C90" s="344">
        <v>6</v>
      </c>
      <c r="D90"/>
      <c r="E90"/>
      <c r="F90"/>
      <c r="G90"/>
      <c r="H90"/>
      <c r="I90"/>
      <c r="J90"/>
      <c r="K90"/>
    </row>
    <row r="91" spans="1:11" ht="14.5" x14ac:dyDescent="0.35">
      <c r="A91"/>
      <c r="B91" s="139" t="s">
        <v>385</v>
      </c>
      <c r="C91" s="344">
        <v>6</v>
      </c>
      <c r="D91"/>
      <c r="E91"/>
      <c r="F91"/>
      <c r="G91"/>
      <c r="H91"/>
      <c r="I91"/>
      <c r="J91"/>
      <c r="K91"/>
    </row>
    <row r="92" spans="1:11" ht="14.5" x14ac:dyDescent="0.35">
      <c r="A92"/>
      <c r="B92" s="139" t="s">
        <v>182</v>
      </c>
      <c r="C92" s="344">
        <v>6</v>
      </c>
      <c r="D92"/>
      <c r="E92"/>
      <c r="F92"/>
      <c r="G92"/>
      <c r="H92"/>
      <c r="I92"/>
      <c r="J92"/>
      <c r="K92"/>
    </row>
    <row r="93" spans="1:11" ht="14.5" x14ac:dyDescent="0.35">
      <c r="A93"/>
      <c r="B93" s="139" t="s">
        <v>373</v>
      </c>
      <c r="C93" s="344">
        <v>5</v>
      </c>
      <c r="D93"/>
      <c r="E93"/>
      <c r="F93"/>
      <c r="G93"/>
      <c r="H93"/>
      <c r="I93"/>
      <c r="J93"/>
      <c r="K93"/>
    </row>
    <row r="94" spans="1:11" ht="14.5" x14ac:dyDescent="0.35">
      <c r="A94"/>
      <c r="B94" s="139" t="s">
        <v>181</v>
      </c>
      <c r="C94" s="344">
        <v>5</v>
      </c>
      <c r="D94"/>
      <c r="E94"/>
      <c r="F94"/>
      <c r="G94"/>
      <c r="H94"/>
      <c r="I94"/>
      <c r="J94"/>
      <c r="K94"/>
    </row>
    <row r="95" spans="1:11" ht="14.5" x14ac:dyDescent="0.35">
      <c r="A95"/>
      <c r="B95" s="139" t="s">
        <v>86</v>
      </c>
      <c r="C95" s="344">
        <v>3</v>
      </c>
      <c r="D95"/>
      <c r="E95"/>
      <c r="F95"/>
      <c r="G95"/>
      <c r="H95"/>
      <c r="I95"/>
      <c r="J95"/>
      <c r="K95"/>
    </row>
    <row r="96" spans="1:11" ht="14.5" x14ac:dyDescent="0.35">
      <c r="A96"/>
      <c r="B96" s="139" t="s">
        <v>374</v>
      </c>
      <c r="C96" s="344" t="s">
        <v>128</v>
      </c>
      <c r="D96"/>
      <c r="E96"/>
      <c r="F96"/>
      <c r="G96"/>
      <c r="H96"/>
      <c r="I96"/>
      <c r="J96"/>
      <c r="K96"/>
    </row>
    <row r="97" spans="1:11" ht="14.5" x14ac:dyDescent="0.35">
      <c r="A97"/>
      <c r="B97" s="139" t="s">
        <v>88</v>
      </c>
      <c r="C97" s="345" t="s">
        <v>128</v>
      </c>
      <c r="D97"/>
      <c r="E97"/>
      <c r="F97"/>
      <c r="G97"/>
      <c r="H97"/>
      <c r="I97"/>
      <c r="J97"/>
      <c r="K97"/>
    </row>
    <row r="98" spans="1:11" ht="14.5" x14ac:dyDescent="0.35">
      <c r="A98"/>
      <c r="B98" s="139" t="s">
        <v>423</v>
      </c>
      <c r="C98" s="344" t="s">
        <v>128</v>
      </c>
      <c r="D98"/>
      <c r="E98"/>
      <c r="F98"/>
      <c r="G98"/>
      <c r="H98"/>
      <c r="I98"/>
      <c r="J98"/>
      <c r="K98"/>
    </row>
    <row r="99" spans="1:11" ht="14.5" x14ac:dyDescent="0.35">
      <c r="A99"/>
      <c r="B99"/>
      <c r="C99"/>
      <c r="D99"/>
      <c r="E99"/>
      <c r="F99"/>
      <c r="G99"/>
      <c r="H99"/>
      <c r="I99"/>
      <c r="J99"/>
      <c r="K99"/>
    </row>
    <row r="100" spans="1:11" ht="14.5" x14ac:dyDescent="0.35">
      <c r="A100" s="343" t="s">
        <v>456</v>
      </c>
      <c r="B100" s="139" t="s">
        <v>77</v>
      </c>
      <c r="C100" s="344">
        <v>18</v>
      </c>
      <c r="D100"/>
      <c r="E100"/>
      <c r="F100"/>
      <c r="G100"/>
      <c r="H100"/>
      <c r="I100"/>
      <c r="J100"/>
      <c r="K100"/>
    </row>
    <row r="101" spans="1:11" ht="14.5" x14ac:dyDescent="0.35">
      <c r="A101"/>
      <c r="B101" s="139" t="s">
        <v>389</v>
      </c>
      <c r="C101" s="344">
        <v>18</v>
      </c>
      <c r="D101"/>
      <c r="E101"/>
      <c r="F101"/>
      <c r="G101"/>
      <c r="H101"/>
      <c r="I101"/>
      <c r="J101"/>
      <c r="K101"/>
    </row>
    <row r="102" spans="1:11" ht="14.5" x14ac:dyDescent="0.35">
      <c r="A102"/>
      <c r="B102" s="139" t="s">
        <v>184</v>
      </c>
      <c r="C102" s="344">
        <v>18</v>
      </c>
      <c r="D102"/>
      <c r="E102"/>
      <c r="F102"/>
      <c r="G102"/>
      <c r="H102"/>
      <c r="I102"/>
      <c r="J102"/>
      <c r="K102"/>
    </row>
    <row r="103" spans="1:11" ht="14.5" x14ac:dyDescent="0.35">
      <c r="A103"/>
      <c r="B103" s="139" t="s">
        <v>183</v>
      </c>
      <c r="C103" s="344">
        <v>18</v>
      </c>
      <c r="D103"/>
      <c r="E103"/>
      <c r="F103"/>
      <c r="G103"/>
      <c r="H103"/>
      <c r="I103"/>
      <c r="J103"/>
      <c r="K103"/>
    </row>
    <row r="104" spans="1:11" ht="14.5" x14ac:dyDescent="0.35">
      <c r="A104"/>
      <c r="B104" s="139" t="s">
        <v>94</v>
      </c>
      <c r="C104" s="344">
        <v>6</v>
      </c>
      <c r="D104"/>
      <c r="E104"/>
      <c r="F104"/>
      <c r="G104"/>
      <c r="H104"/>
      <c r="I104"/>
      <c r="J104"/>
      <c r="K104"/>
    </row>
    <row r="105" spans="1:11" ht="14.5" x14ac:dyDescent="0.35">
      <c r="A105"/>
      <c r="B105" s="139" t="s">
        <v>385</v>
      </c>
      <c r="C105" s="344">
        <v>15</v>
      </c>
      <c r="D105"/>
      <c r="E105"/>
      <c r="F105"/>
      <c r="G105"/>
      <c r="H105"/>
      <c r="I105"/>
      <c r="J105"/>
      <c r="K105"/>
    </row>
    <row r="106" spans="1:11" ht="14.5" x14ac:dyDescent="0.35">
      <c r="A106"/>
      <c r="B106" s="139" t="s">
        <v>182</v>
      </c>
      <c r="C106" s="344">
        <v>15</v>
      </c>
      <c r="D106"/>
      <c r="E106"/>
      <c r="F106"/>
      <c r="G106"/>
      <c r="H106"/>
      <c r="I106"/>
      <c r="J106"/>
      <c r="K106"/>
    </row>
    <row r="107" spans="1:11" ht="14.5" x14ac:dyDescent="0.35">
      <c r="A107"/>
      <c r="B107" s="139" t="s">
        <v>373</v>
      </c>
      <c r="C107" s="344">
        <v>3</v>
      </c>
      <c r="D107"/>
      <c r="E107"/>
      <c r="F107"/>
      <c r="G107"/>
      <c r="H107"/>
      <c r="I107"/>
      <c r="J107"/>
      <c r="K107"/>
    </row>
    <row r="108" spans="1:11" ht="14.5" x14ac:dyDescent="0.35">
      <c r="A108"/>
      <c r="B108" s="139" t="s">
        <v>181</v>
      </c>
      <c r="C108" s="344">
        <v>3</v>
      </c>
      <c r="D108"/>
      <c r="E108"/>
      <c r="F108"/>
      <c r="G108"/>
      <c r="H108"/>
      <c r="I108"/>
      <c r="J108"/>
      <c r="K108"/>
    </row>
    <row r="109" spans="1:11" ht="14.5" x14ac:dyDescent="0.35">
      <c r="A109"/>
      <c r="B109" s="139" t="s">
        <v>86</v>
      </c>
      <c r="C109" s="344">
        <v>1</v>
      </c>
      <c r="D109"/>
      <c r="E109"/>
      <c r="F109"/>
      <c r="G109"/>
      <c r="H109"/>
      <c r="I109"/>
      <c r="J109"/>
      <c r="K109"/>
    </row>
    <row r="110" spans="1:11" ht="14.5" x14ac:dyDescent="0.35">
      <c r="A110"/>
      <c r="B110" s="139" t="s">
        <v>374</v>
      </c>
      <c r="C110" s="344" t="s">
        <v>128</v>
      </c>
      <c r="D110"/>
      <c r="E110"/>
      <c r="F110"/>
      <c r="G110"/>
      <c r="H110"/>
      <c r="I110"/>
      <c r="J110"/>
      <c r="K110"/>
    </row>
    <row r="111" spans="1:11" ht="14.5" x14ac:dyDescent="0.35">
      <c r="A111"/>
      <c r="B111" s="139" t="s">
        <v>88</v>
      </c>
      <c r="C111" s="345" t="s">
        <v>128</v>
      </c>
      <c r="D111"/>
      <c r="E111"/>
      <c r="F111"/>
      <c r="G111"/>
      <c r="H111"/>
      <c r="I111"/>
      <c r="J111"/>
      <c r="K111"/>
    </row>
    <row r="112" spans="1:11" ht="14.5" x14ac:dyDescent="0.35">
      <c r="A112"/>
      <c r="B112" s="139" t="s">
        <v>423</v>
      </c>
      <c r="C112" s="344" t="s">
        <v>128</v>
      </c>
      <c r="D112"/>
      <c r="E112"/>
      <c r="F112"/>
      <c r="G112"/>
      <c r="H112"/>
      <c r="I112"/>
      <c r="J112"/>
      <c r="K112"/>
    </row>
  </sheetData>
  <sheetProtection selectLockedCells="1" selectUnlockedCells="1"/>
  <pageMargins left="0.7" right="0.7" top="0.75" bottom="0.75" header="0.3" footer="0.3"/>
  <pageSetup scale="54" orientation="landscape"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9"/>
  <sheetViews>
    <sheetView zoomScaleNormal="100" zoomScaleSheetLayoutView="106" workbookViewId="0">
      <selection activeCell="C7" sqref="C7"/>
    </sheetView>
  </sheetViews>
  <sheetFormatPr defaultColWidth="9.1796875" defaultRowHeight="74.25" customHeight="1" x14ac:dyDescent="0.35"/>
  <cols>
    <col min="1" max="1" width="112" style="41" customWidth="1"/>
    <col min="2" max="16384" width="9.1796875" style="41"/>
  </cols>
  <sheetData>
    <row r="1" spans="1:2" ht="49.5" customHeight="1" x14ac:dyDescent="0.35">
      <c r="A1" s="451" t="s">
        <v>43</v>
      </c>
    </row>
    <row r="2" spans="1:2" ht="93" x14ac:dyDescent="0.35">
      <c r="A2" s="452" t="s">
        <v>445</v>
      </c>
    </row>
    <row r="3" spans="1:2" ht="85.5" customHeight="1" x14ac:dyDescent="0.35">
      <c r="A3" s="452" t="s">
        <v>474</v>
      </c>
      <c r="B3" s="450"/>
    </row>
    <row r="4" spans="1:2" ht="54" customHeight="1" x14ac:dyDescent="0.35">
      <c r="A4" s="563" t="s">
        <v>478</v>
      </c>
    </row>
    <row r="5" spans="1:2" ht="51" customHeight="1" x14ac:dyDescent="0.35">
      <c r="A5" s="563" t="s">
        <v>477</v>
      </c>
    </row>
    <row r="6" spans="1:2" ht="64.5" customHeight="1" x14ac:dyDescent="0.35">
      <c r="A6" s="452" t="s">
        <v>443</v>
      </c>
    </row>
    <row r="7" spans="1:2" ht="82.5" customHeight="1" x14ac:dyDescent="0.35">
      <c r="A7" s="563" t="s">
        <v>476</v>
      </c>
    </row>
    <row r="8" spans="1:2" ht="82.5" customHeight="1" x14ac:dyDescent="0.35">
      <c r="A8" s="563" t="s">
        <v>475</v>
      </c>
    </row>
    <row r="9" spans="1:2" ht="66.75" customHeight="1" x14ac:dyDescent="0.35">
      <c r="A9" s="452" t="s">
        <v>444</v>
      </c>
    </row>
  </sheetData>
  <pageMargins left="0.7" right="0.7" top="0.75" bottom="0.75" header="0.3" footer="0.3"/>
  <pageSetup orientation="portrait" r:id="rId1"/>
  <headerFooter>
    <oddHeader>&amp;LPosition Descriptions</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7"/>
  <sheetViews>
    <sheetView zoomScaleNormal="100" workbookViewId="0">
      <selection activeCell="B7" sqref="B7"/>
    </sheetView>
  </sheetViews>
  <sheetFormatPr defaultRowHeight="14.5" x14ac:dyDescent="0.35"/>
  <cols>
    <col min="1" max="1" width="60.7265625" customWidth="1"/>
    <col min="2" max="2" width="35" customWidth="1"/>
    <col min="3" max="3" width="17.26953125" customWidth="1"/>
    <col min="4" max="4" width="14.54296875" customWidth="1"/>
    <col min="5" max="6" width="0" hidden="1" customWidth="1"/>
    <col min="7" max="7" width="34.7265625" customWidth="1"/>
    <col min="8" max="12" width="0" hidden="1" customWidth="1"/>
  </cols>
  <sheetData>
    <row r="1" spans="1:3" ht="177.75" customHeight="1" x14ac:dyDescent="0.35">
      <c r="A1" s="582" t="s">
        <v>457</v>
      </c>
      <c r="B1" s="582"/>
      <c r="C1" s="203"/>
    </row>
    <row r="2" spans="1:3" ht="165" customHeight="1" x14ac:dyDescent="0.35">
      <c r="A2" s="582" t="s">
        <v>460</v>
      </c>
      <c r="B2" s="582"/>
    </row>
    <row r="3" spans="1:3" ht="129.75" customHeight="1" x14ac:dyDescent="0.35">
      <c r="A3" s="584" t="s">
        <v>458</v>
      </c>
      <c r="B3" s="584"/>
    </row>
    <row r="4" spans="1:3" ht="155.25" customHeight="1" x14ac:dyDescent="0.35">
      <c r="A4" s="584" t="s">
        <v>462</v>
      </c>
      <c r="B4" s="584"/>
    </row>
    <row r="5" spans="1:3" ht="137.25" customHeight="1" x14ac:dyDescent="0.35">
      <c r="A5" s="583" t="s">
        <v>465</v>
      </c>
      <c r="B5" s="583"/>
    </row>
    <row r="6" spans="1:3" ht="87" customHeight="1" x14ac:dyDescent="0.35">
      <c r="A6" s="583" t="s">
        <v>459</v>
      </c>
      <c r="B6" s="583"/>
    </row>
    <row r="7" spans="1:3" ht="53.25" customHeight="1" x14ac:dyDescent="0.35">
      <c r="A7" s="211"/>
      <c r="B7" s="20"/>
    </row>
  </sheetData>
  <mergeCells count="6">
    <mergeCell ref="A1:B1"/>
    <mergeCell ref="A5:B5"/>
    <mergeCell ref="A6:B6"/>
    <mergeCell ref="A2:B2"/>
    <mergeCell ref="A3:B3"/>
    <mergeCell ref="A4: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Q769"/>
  <sheetViews>
    <sheetView zoomScaleNormal="100" zoomScaleSheetLayoutView="100" workbookViewId="0">
      <selection activeCell="C6" sqref="C6"/>
    </sheetView>
  </sheetViews>
  <sheetFormatPr defaultRowHeight="15.5" x14ac:dyDescent="0.35"/>
  <cols>
    <col min="1" max="1" width="69.453125" style="15" customWidth="1"/>
    <col min="2" max="2" width="17.26953125" style="15" customWidth="1"/>
    <col min="3" max="3" width="13.1796875" style="236" customWidth="1"/>
    <col min="4" max="4" width="12.7265625" style="236" customWidth="1"/>
    <col min="5" max="7" width="17.7265625" style="15" customWidth="1"/>
    <col min="8" max="8" width="9.1796875" style="123" customWidth="1"/>
  </cols>
  <sheetData>
    <row r="1" spans="1:17" x14ac:dyDescent="0.35">
      <c r="E1" s="371" t="s">
        <v>412</v>
      </c>
    </row>
    <row r="2" spans="1:17" s="1" customFormat="1" x14ac:dyDescent="0.35">
      <c r="A2" s="38" t="s">
        <v>31</v>
      </c>
      <c r="B2" s="38"/>
      <c r="C2" s="237"/>
      <c r="E2" s="406" t="str">
        <f>ship_type</f>
        <v>LPD</v>
      </c>
      <c r="F2" s="38"/>
      <c r="G2" s="38"/>
      <c r="H2" s="38"/>
    </row>
    <row r="3" spans="1:17" s="1" customFormat="1" x14ac:dyDescent="0.35">
      <c r="A3" s="233"/>
      <c r="B3" s="233"/>
      <c r="C3" s="237"/>
      <c r="D3" s="407" t="s">
        <v>424</v>
      </c>
      <c r="E3" s="233"/>
      <c r="F3" s="233"/>
      <c r="G3" s="233"/>
      <c r="H3" s="233"/>
    </row>
    <row r="4" spans="1:17" s="5" customFormat="1" ht="19.5" customHeight="1" x14ac:dyDescent="0.35">
      <c r="A4" s="53" t="s">
        <v>44</v>
      </c>
      <c r="B4" s="51"/>
      <c r="C4" s="52"/>
      <c r="D4" s="40"/>
    </row>
    <row r="5" spans="1:17" s="5" customFormat="1" ht="36.75" customHeight="1" x14ac:dyDescent="0.35">
      <c r="A5" s="585" t="s">
        <v>481</v>
      </c>
      <c r="B5" s="585"/>
      <c r="C5" s="215"/>
      <c r="D5" s="228"/>
    </row>
    <row r="6" spans="1:17" s="5" customFormat="1" ht="36.75" customHeight="1" x14ac:dyDescent="0.35">
      <c r="A6" s="585" t="s">
        <v>480</v>
      </c>
      <c r="B6" s="585"/>
      <c r="C6" s="215"/>
      <c r="D6" s="228"/>
    </row>
    <row r="7" spans="1:17" ht="16.5" hidden="1" thickTop="1" thickBot="1" x14ac:dyDescent="0.4">
      <c r="A7" s="213"/>
      <c r="B7" s="125" t="s">
        <v>225</v>
      </c>
      <c r="C7" s="126"/>
      <c r="D7" s="132" t="s">
        <v>25</v>
      </c>
      <c r="E7" s="132"/>
      <c r="F7" s="132"/>
      <c r="G7" s="132"/>
      <c r="H7" s="126"/>
    </row>
    <row r="8" spans="1:17" s="18" customFormat="1" ht="16.5" hidden="1" customHeight="1" thickTop="1" x14ac:dyDescent="0.35">
      <c r="A8" s="133" t="s">
        <v>109</v>
      </c>
      <c r="B8" s="384"/>
      <c r="C8" s="119"/>
      <c r="D8" s="119"/>
      <c r="E8" s="121"/>
      <c r="F8" s="121"/>
      <c r="G8" s="121"/>
      <c r="H8" s="121"/>
      <c r="J8" s="78"/>
      <c r="K8" s="78"/>
      <c r="L8" s="78"/>
      <c r="M8" s="78"/>
      <c r="N8" s="78"/>
      <c r="O8" s="78"/>
      <c r="P8" s="78"/>
      <c r="Q8" s="78"/>
    </row>
    <row r="9" spans="1:17" s="18" customFormat="1" ht="16.5" hidden="1" customHeight="1" x14ac:dyDescent="0.35">
      <c r="A9" s="149" t="s">
        <v>113</v>
      </c>
      <c r="B9" s="385"/>
      <c r="C9" s="119"/>
      <c r="D9" s="119"/>
      <c r="E9" s="121"/>
      <c r="F9" s="121"/>
      <c r="G9" s="121"/>
      <c r="H9" s="121"/>
      <c r="J9" s="78"/>
      <c r="K9" s="78"/>
      <c r="L9" s="78"/>
      <c r="M9" s="78"/>
      <c r="N9" s="78"/>
      <c r="O9" s="78"/>
      <c r="P9" s="78"/>
      <c r="Q9" s="78"/>
    </row>
    <row r="10" spans="1:17" s="18" customFormat="1" ht="17.149999999999999" hidden="1" customHeight="1" x14ac:dyDescent="0.35">
      <c r="A10" s="128" t="s">
        <v>115</v>
      </c>
      <c r="B10" s="265" t="b">
        <v>0</v>
      </c>
      <c r="C10" s="241"/>
      <c r="D10" s="239">
        <f>IF(B10,C10,0)</f>
        <v>0</v>
      </c>
      <c r="E10" s="120"/>
      <c r="F10" s="120"/>
      <c r="G10" s="120"/>
      <c r="H10" s="120"/>
      <c r="J10" s="78"/>
      <c r="K10" s="78"/>
      <c r="L10" s="78"/>
      <c r="M10" s="78"/>
      <c r="N10" s="78"/>
      <c r="O10" s="78"/>
      <c r="P10" s="78"/>
      <c r="Q10" s="78"/>
    </row>
    <row r="11" spans="1:17" s="18" customFormat="1" ht="17.149999999999999" hidden="1" customHeight="1" x14ac:dyDescent="0.35">
      <c r="A11" s="128" t="s">
        <v>116</v>
      </c>
      <c r="B11" s="265" t="b">
        <v>0</v>
      </c>
      <c r="C11" s="241"/>
      <c r="D11" s="239">
        <f t="shared" ref="D11:D32" si="0">IF(B11,C11,0)</f>
        <v>0</v>
      </c>
      <c r="E11" s="121"/>
      <c r="F11" s="121"/>
      <c r="G11" s="121"/>
      <c r="H11" s="121"/>
      <c r="J11" s="78"/>
      <c r="K11" s="78"/>
      <c r="L11" s="78"/>
      <c r="M11" s="78"/>
      <c r="N11" s="78"/>
      <c r="O11" s="78"/>
      <c r="P11" s="78"/>
      <c r="Q11" s="78"/>
    </row>
    <row r="12" spans="1:17" s="18" customFormat="1" ht="17.149999999999999" hidden="1" customHeight="1" x14ac:dyDescent="0.35">
      <c r="A12" s="128" t="s">
        <v>121</v>
      </c>
      <c r="B12" s="265" t="b">
        <v>0</v>
      </c>
      <c r="C12" s="241"/>
      <c r="D12" s="239">
        <f t="shared" si="0"/>
        <v>0</v>
      </c>
      <c r="E12" s="120"/>
      <c r="F12" s="120"/>
      <c r="G12" s="120"/>
      <c r="H12" s="120"/>
      <c r="J12" s="78"/>
      <c r="K12" s="78"/>
      <c r="L12" s="78"/>
      <c r="M12" s="78"/>
      <c r="N12" s="78"/>
      <c r="O12" s="78"/>
      <c r="P12" s="78"/>
      <c r="Q12" s="78"/>
    </row>
    <row r="13" spans="1:17" s="18" customFormat="1" ht="17.149999999999999" hidden="1" customHeight="1" x14ac:dyDescent="0.35">
      <c r="A13" s="128" t="s">
        <v>122</v>
      </c>
      <c r="B13" s="265" t="b">
        <v>0</v>
      </c>
      <c r="C13" s="242"/>
      <c r="D13" s="239">
        <f t="shared" si="0"/>
        <v>0</v>
      </c>
      <c r="E13" s="122"/>
      <c r="F13" s="122"/>
      <c r="G13" s="122"/>
      <c r="H13" s="122"/>
      <c r="J13" s="78"/>
      <c r="K13" s="78"/>
      <c r="L13" s="78"/>
      <c r="M13" s="78"/>
      <c r="N13" s="78"/>
      <c r="O13" s="78"/>
      <c r="P13" s="78"/>
      <c r="Q13" s="78"/>
    </row>
    <row r="14" spans="1:17" s="18" customFormat="1" ht="17.149999999999999" hidden="1" customHeight="1" x14ac:dyDescent="0.35">
      <c r="A14" s="128" t="s">
        <v>119</v>
      </c>
      <c r="B14" s="265" t="b">
        <v>0</v>
      </c>
      <c r="C14" s="242"/>
      <c r="D14" s="239">
        <f t="shared" si="0"/>
        <v>0</v>
      </c>
      <c r="E14" s="122"/>
      <c r="F14" s="122"/>
      <c r="G14" s="122"/>
      <c r="H14" s="122"/>
      <c r="J14" s="78"/>
      <c r="K14" s="78"/>
      <c r="L14" s="78"/>
      <c r="M14" s="78"/>
      <c r="N14" s="78"/>
      <c r="O14" s="78"/>
      <c r="P14" s="78"/>
      <c r="Q14" s="78"/>
    </row>
    <row r="15" spans="1:17" s="18" customFormat="1" ht="17.149999999999999" hidden="1" customHeight="1" x14ac:dyDescent="0.35">
      <c r="A15" s="128" t="s">
        <v>119</v>
      </c>
      <c r="B15" s="265" t="b">
        <v>0</v>
      </c>
      <c r="C15" s="242"/>
      <c r="D15" s="239">
        <f t="shared" si="0"/>
        <v>0</v>
      </c>
      <c r="E15" s="122"/>
      <c r="F15" s="122"/>
      <c r="G15" s="122"/>
      <c r="H15" s="122"/>
      <c r="J15" s="78"/>
      <c r="K15" s="78"/>
      <c r="L15" s="78"/>
      <c r="M15" s="78"/>
      <c r="N15" s="78"/>
      <c r="O15" s="78"/>
      <c r="P15" s="78"/>
      <c r="Q15" s="78"/>
    </row>
    <row r="16" spans="1:17" s="18" customFormat="1" ht="17.149999999999999" hidden="1" customHeight="1" x14ac:dyDescent="0.35">
      <c r="A16" s="128" t="s">
        <v>118</v>
      </c>
      <c r="B16" s="265" t="b">
        <v>0</v>
      </c>
      <c r="C16" s="242"/>
      <c r="D16" s="239">
        <f t="shared" si="0"/>
        <v>0</v>
      </c>
      <c r="E16" s="122"/>
      <c r="F16" s="122"/>
      <c r="G16" s="122"/>
      <c r="H16" s="122"/>
      <c r="J16" s="78"/>
      <c r="K16" s="78"/>
      <c r="L16" s="78"/>
      <c r="M16" s="78"/>
      <c r="N16" s="78"/>
      <c r="O16" s="78"/>
      <c r="P16" s="78"/>
      <c r="Q16" s="78"/>
    </row>
    <row r="17" spans="1:17" s="18" customFormat="1" ht="17.149999999999999" hidden="1" customHeight="1" x14ac:dyDescent="0.35">
      <c r="A17" s="128" t="s">
        <v>118</v>
      </c>
      <c r="B17" s="265" t="b">
        <v>0</v>
      </c>
      <c r="C17" s="242"/>
      <c r="D17" s="239">
        <f t="shared" si="0"/>
        <v>0</v>
      </c>
      <c r="E17" s="122"/>
      <c r="F17" s="122"/>
      <c r="G17" s="122"/>
      <c r="H17" s="122"/>
      <c r="J17" s="78"/>
      <c r="K17" s="78"/>
      <c r="L17" s="78"/>
      <c r="M17" s="78"/>
      <c r="N17" s="78"/>
      <c r="O17" s="78"/>
      <c r="P17" s="78"/>
      <c r="Q17" s="78"/>
    </row>
    <row r="18" spans="1:17" s="18" customFormat="1" ht="17.149999999999999" hidden="1" customHeight="1" x14ac:dyDescent="0.35">
      <c r="A18" s="128" t="s">
        <v>118</v>
      </c>
      <c r="B18" s="265" t="b">
        <v>0</v>
      </c>
      <c r="C18" s="242"/>
      <c r="D18" s="239">
        <f t="shared" si="0"/>
        <v>0</v>
      </c>
      <c r="E18" s="122"/>
      <c r="F18" s="122"/>
      <c r="G18" s="122"/>
      <c r="H18" s="122"/>
      <c r="J18" s="78"/>
      <c r="K18" s="78"/>
      <c r="L18" s="78"/>
      <c r="M18" s="78"/>
      <c r="N18" s="78"/>
      <c r="O18" s="78"/>
      <c r="P18" s="78"/>
      <c r="Q18" s="78"/>
    </row>
    <row r="19" spans="1:17" s="18" customFormat="1" ht="17.149999999999999" hidden="1" customHeight="1" x14ac:dyDescent="0.35">
      <c r="A19" s="128" t="s">
        <v>118</v>
      </c>
      <c r="B19" s="265" t="b">
        <v>0</v>
      </c>
      <c r="C19" s="243"/>
      <c r="D19" s="239">
        <f t="shared" si="0"/>
        <v>0</v>
      </c>
      <c r="E19" s="122"/>
      <c r="F19" s="122"/>
      <c r="G19" s="122"/>
      <c r="H19" s="122"/>
      <c r="J19" s="78"/>
      <c r="K19" s="78"/>
      <c r="L19" s="78"/>
      <c r="M19" s="78"/>
      <c r="N19" s="78"/>
      <c r="O19" s="78"/>
      <c r="P19" s="78"/>
      <c r="Q19" s="78"/>
    </row>
    <row r="20" spans="1:17" s="18" customFormat="1" ht="17.149999999999999" hidden="1" customHeight="1" x14ac:dyDescent="0.35">
      <c r="A20" s="128" t="s">
        <v>118</v>
      </c>
      <c r="B20" s="265" t="b">
        <v>0</v>
      </c>
      <c r="C20" s="242"/>
      <c r="D20" s="239">
        <f t="shared" si="0"/>
        <v>0</v>
      </c>
      <c r="E20" s="122"/>
      <c r="F20" s="122"/>
      <c r="G20" s="122"/>
      <c r="H20" s="122"/>
      <c r="J20" s="78"/>
      <c r="K20" s="78"/>
      <c r="L20" s="78"/>
      <c r="M20" s="78"/>
      <c r="N20" s="78"/>
      <c r="O20" s="78"/>
      <c r="P20" s="78"/>
      <c r="Q20" s="78"/>
    </row>
    <row r="21" spans="1:17" s="18" customFormat="1" ht="17.149999999999999" hidden="1" customHeight="1" x14ac:dyDescent="0.35">
      <c r="A21" s="128" t="s">
        <v>118</v>
      </c>
      <c r="B21" s="265" t="b">
        <v>0</v>
      </c>
      <c r="C21" s="242"/>
      <c r="D21" s="239">
        <f t="shared" si="0"/>
        <v>0</v>
      </c>
      <c r="E21" s="122"/>
      <c r="F21" s="122"/>
      <c r="G21" s="122"/>
      <c r="H21" s="122"/>
      <c r="J21" s="78"/>
      <c r="K21" s="78"/>
      <c r="L21" s="78"/>
      <c r="M21" s="78"/>
      <c r="N21" s="78"/>
      <c r="O21" s="78"/>
      <c r="P21" s="78"/>
      <c r="Q21" s="78"/>
    </row>
    <row r="22" spans="1:17" s="18" customFormat="1" ht="17.149999999999999" hidden="1" customHeight="1" x14ac:dyDescent="0.35">
      <c r="A22" s="128" t="s">
        <v>118</v>
      </c>
      <c r="B22" s="265" t="b">
        <v>0</v>
      </c>
      <c r="C22" s="242"/>
      <c r="D22" s="239">
        <f t="shared" si="0"/>
        <v>0</v>
      </c>
      <c r="E22" s="122"/>
      <c r="F22" s="122"/>
      <c r="G22" s="122"/>
      <c r="H22" s="122"/>
      <c r="J22" s="78"/>
      <c r="K22" s="78"/>
      <c r="L22" s="78"/>
      <c r="M22" s="78"/>
      <c r="N22" s="78"/>
      <c r="O22" s="78"/>
      <c r="P22" s="78"/>
      <c r="Q22" s="78"/>
    </row>
    <row r="23" spans="1:17" s="18" customFormat="1" hidden="1" x14ac:dyDescent="0.35">
      <c r="A23" s="128" t="s">
        <v>118</v>
      </c>
      <c r="B23" s="265" t="b">
        <v>0</v>
      </c>
      <c r="C23" s="131"/>
      <c r="D23" s="239">
        <f t="shared" si="0"/>
        <v>0</v>
      </c>
      <c r="E23" s="1"/>
      <c r="F23" s="1"/>
      <c r="G23" s="1"/>
      <c r="H23" s="1"/>
      <c r="J23" s="78"/>
      <c r="K23" s="78"/>
      <c r="L23" s="78"/>
      <c r="M23" s="78"/>
      <c r="N23" s="78"/>
      <c r="O23" s="78"/>
      <c r="P23" s="78"/>
      <c r="Q23" s="78"/>
    </row>
    <row r="24" spans="1:17" s="18" customFormat="1" hidden="1" x14ac:dyDescent="0.35">
      <c r="A24" s="128" t="s">
        <v>118</v>
      </c>
      <c r="B24" s="265" t="b">
        <v>0</v>
      </c>
      <c r="C24" s="131"/>
      <c r="D24" s="239">
        <f t="shared" si="0"/>
        <v>0</v>
      </c>
      <c r="E24" s="1"/>
      <c r="F24" s="1"/>
      <c r="G24" s="1"/>
      <c r="H24" s="1"/>
      <c r="J24" s="78"/>
      <c r="K24" s="78"/>
      <c r="L24" s="78"/>
      <c r="M24" s="78"/>
      <c r="N24" s="78"/>
      <c r="O24" s="78"/>
      <c r="P24" s="78"/>
      <c r="Q24" s="78"/>
    </row>
    <row r="25" spans="1:17" s="18" customFormat="1" ht="17.149999999999999" hidden="1" customHeight="1" x14ac:dyDescent="0.35">
      <c r="A25" s="152" t="s">
        <v>114</v>
      </c>
      <c r="B25" s="326"/>
      <c r="C25" s="241"/>
      <c r="D25" s="239"/>
      <c r="E25" s="121"/>
      <c r="F25" s="121"/>
      <c r="G25" s="121"/>
      <c r="H25" s="121"/>
      <c r="J25" s="78"/>
      <c r="K25" s="78"/>
      <c r="L25" s="78"/>
      <c r="M25" s="78"/>
      <c r="N25" s="78"/>
      <c r="O25" s="78"/>
      <c r="P25" s="78"/>
      <c r="Q25" s="78"/>
    </row>
    <row r="26" spans="1:17" s="18" customFormat="1" ht="17.149999999999999" hidden="1" customHeight="1" x14ac:dyDescent="0.35">
      <c r="A26" s="128" t="s">
        <v>446</v>
      </c>
      <c r="B26" s="265" t="b">
        <v>0</v>
      </c>
      <c r="C26" s="241"/>
      <c r="D26" s="239">
        <f t="shared" si="0"/>
        <v>0</v>
      </c>
      <c r="E26" s="120"/>
      <c r="F26" s="120"/>
      <c r="G26" s="120"/>
      <c r="H26" s="120"/>
      <c r="J26" s="78"/>
      <c r="K26" s="78"/>
      <c r="L26" s="78"/>
      <c r="M26" s="78"/>
      <c r="N26" s="78"/>
      <c r="O26" s="78"/>
      <c r="P26" s="78"/>
      <c r="Q26" s="78"/>
    </row>
    <row r="27" spans="1:17" s="18" customFormat="1" ht="17.149999999999999" hidden="1" customHeight="1" x14ac:dyDescent="0.35">
      <c r="A27" s="128" t="s">
        <v>447</v>
      </c>
      <c r="B27" s="265" t="b">
        <v>0</v>
      </c>
      <c r="C27" s="241"/>
      <c r="D27" s="239">
        <f t="shared" si="0"/>
        <v>0</v>
      </c>
      <c r="E27" s="120"/>
      <c r="F27" s="120"/>
      <c r="G27" s="120"/>
      <c r="H27" s="120"/>
      <c r="J27" s="78"/>
      <c r="K27" s="78"/>
      <c r="L27" s="78"/>
      <c r="M27" s="78"/>
      <c r="N27" s="78"/>
      <c r="O27" s="78"/>
      <c r="P27" s="78"/>
      <c r="Q27" s="78"/>
    </row>
    <row r="28" spans="1:17" s="18" customFormat="1" ht="17.149999999999999" hidden="1" customHeight="1" x14ac:dyDescent="0.35">
      <c r="A28" s="128" t="s">
        <v>448</v>
      </c>
      <c r="B28" s="265" t="b">
        <v>0</v>
      </c>
      <c r="C28" s="240"/>
      <c r="D28" s="239">
        <f t="shared" si="0"/>
        <v>0</v>
      </c>
      <c r="E28" s="122"/>
      <c r="F28" s="122"/>
      <c r="G28" s="122"/>
      <c r="H28" s="122"/>
      <c r="J28" s="78"/>
      <c r="K28" s="78"/>
      <c r="L28" s="78"/>
      <c r="M28" s="78"/>
      <c r="N28" s="78"/>
      <c r="O28" s="78"/>
      <c r="P28" s="78"/>
      <c r="Q28" s="78"/>
    </row>
    <row r="29" spans="1:17" s="18" customFormat="1" ht="17.149999999999999" hidden="1" customHeight="1" x14ac:dyDescent="0.35">
      <c r="A29" s="128" t="s">
        <v>449</v>
      </c>
      <c r="B29" s="265" t="b">
        <v>0</v>
      </c>
      <c r="C29" s="240"/>
      <c r="D29" s="239">
        <f t="shared" si="0"/>
        <v>0</v>
      </c>
      <c r="E29" s="122"/>
      <c r="F29" s="122"/>
      <c r="G29" s="122"/>
      <c r="H29" s="122"/>
      <c r="J29" s="78"/>
      <c r="K29" s="78"/>
      <c r="L29" s="78"/>
      <c r="M29" s="78"/>
      <c r="N29" s="78"/>
      <c r="O29" s="78"/>
      <c r="P29" s="78"/>
      <c r="Q29" s="78"/>
    </row>
    <row r="30" spans="1:17" s="18" customFormat="1" ht="17.149999999999999" hidden="1" customHeight="1" x14ac:dyDescent="0.35">
      <c r="A30" s="128" t="s">
        <v>110</v>
      </c>
      <c r="B30" s="265" t="b">
        <v>0</v>
      </c>
      <c r="C30" s="239"/>
      <c r="D30" s="239">
        <f t="shared" si="0"/>
        <v>0</v>
      </c>
      <c r="E30" s="120"/>
      <c r="F30" s="120"/>
      <c r="G30" s="120"/>
      <c r="H30" s="120"/>
      <c r="J30" s="78"/>
      <c r="K30" s="78"/>
      <c r="L30" s="78"/>
      <c r="M30" s="78"/>
      <c r="N30" s="78"/>
      <c r="O30" s="78"/>
      <c r="P30" s="78"/>
      <c r="Q30" s="78"/>
    </row>
    <row r="31" spans="1:17" s="18" customFormat="1" ht="17.149999999999999" hidden="1" customHeight="1" x14ac:dyDescent="0.35">
      <c r="A31" s="128" t="s">
        <v>111</v>
      </c>
      <c r="B31" s="265" t="b">
        <v>0</v>
      </c>
      <c r="C31" s="239"/>
      <c r="D31" s="239">
        <f t="shared" si="0"/>
        <v>0</v>
      </c>
      <c r="E31" s="120"/>
      <c r="F31" s="120"/>
      <c r="G31" s="120"/>
      <c r="H31" s="120"/>
      <c r="J31" s="78"/>
      <c r="K31" s="78"/>
      <c r="L31" s="78"/>
      <c r="M31" s="78"/>
      <c r="N31" s="78"/>
      <c r="O31" s="78"/>
      <c r="P31" s="78"/>
      <c r="Q31" s="78"/>
    </row>
    <row r="32" spans="1:17" s="18" customFormat="1" ht="17.149999999999999" hidden="1" customHeight="1" thickBot="1" x14ac:dyDescent="0.4">
      <c r="A32" s="129" t="s">
        <v>450</v>
      </c>
      <c r="B32" s="281" t="b">
        <v>0</v>
      </c>
      <c r="C32" s="239"/>
      <c r="D32" s="239">
        <f t="shared" si="0"/>
        <v>0</v>
      </c>
      <c r="E32" s="120"/>
      <c r="F32" s="120"/>
      <c r="G32" s="120"/>
      <c r="H32" s="120"/>
      <c r="J32" s="78"/>
      <c r="K32" s="78"/>
      <c r="L32" s="78"/>
      <c r="M32" s="78"/>
      <c r="N32" s="78"/>
      <c r="O32" s="78"/>
      <c r="P32" s="78"/>
      <c r="Q32" s="78"/>
    </row>
    <row r="33" spans="1:17" s="18" customFormat="1" ht="17.149999999999999" hidden="1" customHeight="1" thickTop="1" thickBot="1" x14ac:dyDescent="0.4">
      <c r="B33" s="120"/>
      <c r="C33" s="239"/>
      <c r="D33" s="239"/>
      <c r="E33" s="120"/>
      <c r="F33" s="120"/>
      <c r="G33" s="120"/>
      <c r="H33" s="120"/>
      <c r="J33" s="78"/>
      <c r="K33" s="78"/>
      <c r="L33" s="78"/>
      <c r="M33" s="78"/>
      <c r="N33" s="78"/>
      <c r="O33" s="78"/>
      <c r="P33" s="78"/>
      <c r="Q33" s="78"/>
    </row>
    <row r="34" spans="1:17" ht="16" hidden="1" thickBot="1" x14ac:dyDescent="0.4">
      <c r="A34" s="134" t="s">
        <v>27</v>
      </c>
      <c r="B34" s="135">
        <f>IFERROR(D34/C34,0)</f>
        <v>0</v>
      </c>
      <c r="C34" s="137"/>
      <c r="D34" s="137">
        <f>SUM(D10:D32)</f>
        <v>0</v>
      </c>
      <c r="E34"/>
      <c r="F34" s="40"/>
      <c r="G34" s="40"/>
      <c r="H34" s="40"/>
    </row>
    <row r="35" spans="1:17" s="18" customFormat="1" hidden="1" x14ac:dyDescent="0.35">
      <c r="A35" s="148"/>
      <c r="B35" s="80"/>
      <c r="C35" s="238"/>
      <c r="D35" s="238"/>
      <c r="E35" s="80"/>
      <c r="F35" s="80"/>
      <c r="G35" s="80"/>
      <c r="H35" s="79"/>
      <c r="J35" s="78"/>
      <c r="K35" s="78"/>
      <c r="L35" s="78"/>
      <c r="M35" s="78"/>
      <c r="N35" s="78"/>
      <c r="O35" s="78"/>
      <c r="P35" s="78"/>
      <c r="Q35" s="78"/>
    </row>
    <row r="36" spans="1:17" s="18" customFormat="1" ht="16" hidden="1" thickBot="1" x14ac:dyDescent="0.4">
      <c r="A36" s="148"/>
      <c r="B36" s="80"/>
      <c r="C36" s="238"/>
      <c r="D36" s="238"/>
      <c r="E36" s="80"/>
      <c r="F36" s="80"/>
      <c r="G36" s="80"/>
      <c r="H36" s="79"/>
      <c r="J36" s="78"/>
      <c r="K36" s="78"/>
      <c r="L36" s="78"/>
      <c r="M36" s="78"/>
      <c r="N36" s="78"/>
      <c r="O36" s="78"/>
      <c r="P36" s="78"/>
      <c r="Q36" s="78"/>
    </row>
    <row r="37" spans="1:17" ht="16.5" hidden="1" thickTop="1" thickBot="1" x14ac:dyDescent="0.4">
      <c r="A37" s="213"/>
      <c r="B37" s="125" t="s">
        <v>225</v>
      </c>
      <c r="C37" s="126"/>
      <c r="D37" s="132" t="s">
        <v>25</v>
      </c>
      <c r="E37" s="132"/>
      <c r="F37" s="132"/>
      <c r="G37" s="132"/>
      <c r="H37" s="126"/>
    </row>
    <row r="38" spans="1:17" s="18" customFormat="1" ht="16.5" hidden="1" customHeight="1" thickTop="1" x14ac:dyDescent="0.35">
      <c r="A38" s="133" t="s">
        <v>120</v>
      </c>
      <c r="B38" s="384"/>
      <c r="C38" s="119"/>
      <c r="D38" s="119"/>
      <c r="E38" s="121"/>
      <c r="F38" s="121"/>
      <c r="G38" s="121"/>
      <c r="H38" s="121"/>
      <c r="J38" s="78"/>
      <c r="K38" s="78"/>
      <c r="L38" s="78"/>
      <c r="M38" s="78"/>
      <c r="N38" s="78"/>
      <c r="O38" s="78"/>
      <c r="P38" s="78"/>
      <c r="Q38" s="78"/>
    </row>
    <row r="39" spans="1:17" s="18" customFormat="1" ht="16.5" hidden="1" customHeight="1" x14ac:dyDescent="0.35">
      <c r="A39" s="149" t="s">
        <v>113</v>
      </c>
      <c r="B39" s="385"/>
      <c r="C39" s="119"/>
      <c r="D39" s="119"/>
      <c r="E39" s="121"/>
      <c r="F39" s="121"/>
      <c r="G39" s="121"/>
      <c r="H39" s="121"/>
      <c r="J39" s="78"/>
      <c r="K39" s="78"/>
      <c r="L39" s="78"/>
      <c r="M39" s="78"/>
      <c r="N39" s="78"/>
      <c r="O39" s="78"/>
      <c r="P39" s="78"/>
      <c r="Q39" s="78"/>
    </row>
    <row r="40" spans="1:17" s="18" customFormat="1" ht="17.149999999999999" hidden="1" customHeight="1" x14ac:dyDescent="0.35">
      <c r="A40" s="128" t="s">
        <v>115</v>
      </c>
      <c r="B40" s="265" t="b">
        <v>0</v>
      </c>
      <c r="C40" s="241"/>
      <c r="D40" s="239">
        <f t="shared" ref="D40:D60" si="1">IF(B40,C40,0)</f>
        <v>0</v>
      </c>
      <c r="E40" s="120"/>
      <c r="F40" s="120"/>
      <c r="G40" s="120"/>
      <c r="H40" s="120"/>
      <c r="J40" s="78"/>
      <c r="K40" s="78"/>
      <c r="L40" s="78"/>
      <c r="M40" s="78"/>
      <c r="N40" s="78"/>
      <c r="O40" s="78"/>
      <c r="P40" s="78"/>
      <c r="Q40" s="78"/>
    </row>
    <row r="41" spans="1:17" s="18" customFormat="1" ht="17.149999999999999" hidden="1" customHeight="1" x14ac:dyDescent="0.35">
      <c r="A41" s="128" t="s">
        <v>116</v>
      </c>
      <c r="B41" s="265" t="b">
        <v>0</v>
      </c>
      <c r="C41" s="241"/>
      <c r="D41" s="239">
        <f t="shared" si="1"/>
        <v>0</v>
      </c>
      <c r="E41" s="121"/>
      <c r="F41" s="121"/>
      <c r="G41" s="121"/>
      <c r="H41" s="121"/>
      <c r="J41" s="78"/>
      <c r="K41" s="78"/>
      <c r="L41" s="78"/>
      <c r="M41" s="78"/>
      <c r="N41" s="78"/>
      <c r="O41" s="78"/>
      <c r="P41" s="78"/>
      <c r="Q41" s="78"/>
    </row>
    <row r="42" spans="1:17" s="18" customFormat="1" ht="17.149999999999999" hidden="1" customHeight="1" x14ac:dyDescent="0.35">
      <c r="A42" s="128" t="s">
        <v>121</v>
      </c>
      <c r="B42" s="265" t="b">
        <v>0</v>
      </c>
      <c r="C42" s="241"/>
      <c r="D42" s="239">
        <f t="shared" si="1"/>
        <v>0</v>
      </c>
      <c r="E42" s="120"/>
      <c r="F42" s="120"/>
      <c r="G42" s="120"/>
      <c r="H42" s="120"/>
      <c r="J42" s="78"/>
      <c r="K42" s="78"/>
      <c r="L42" s="78"/>
      <c r="M42" s="78"/>
      <c r="N42" s="78"/>
      <c r="O42" s="78"/>
      <c r="P42" s="78"/>
      <c r="Q42" s="78"/>
    </row>
    <row r="43" spans="1:17" s="18" customFormat="1" ht="17.149999999999999" hidden="1" customHeight="1" x14ac:dyDescent="0.35">
      <c r="A43" s="128" t="s">
        <v>122</v>
      </c>
      <c r="B43" s="265" t="b">
        <v>0</v>
      </c>
      <c r="C43" s="242"/>
      <c r="D43" s="239">
        <f t="shared" si="1"/>
        <v>0</v>
      </c>
      <c r="E43" s="122"/>
      <c r="F43" s="122"/>
      <c r="G43" s="122"/>
      <c r="H43" s="122"/>
      <c r="J43" s="78"/>
      <c r="K43" s="78"/>
      <c r="L43" s="78"/>
      <c r="M43" s="78"/>
      <c r="N43" s="78"/>
      <c r="O43" s="78"/>
      <c r="P43" s="78"/>
      <c r="Q43" s="78"/>
    </row>
    <row r="44" spans="1:17" s="18" customFormat="1" ht="17.149999999999999" hidden="1" customHeight="1" x14ac:dyDescent="0.35">
      <c r="A44" s="128" t="s">
        <v>119</v>
      </c>
      <c r="B44" s="265" t="b">
        <v>0</v>
      </c>
      <c r="C44" s="242"/>
      <c r="D44" s="239">
        <f t="shared" si="1"/>
        <v>0</v>
      </c>
      <c r="E44" s="122"/>
      <c r="F44" s="122"/>
      <c r="G44" s="122"/>
      <c r="H44" s="122"/>
      <c r="J44" s="78"/>
      <c r="K44" s="78"/>
      <c r="L44" s="78"/>
      <c r="M44" s="78"/>
      <c r="N44" s="78"/>
      <c r="O44" s="78"/>
      <c r="P44" s="78"/>
      <c r="Q44" s="78"/>
    </row>
    <row r="45" spans="1:17" s="18" customFormat="1" ht="17.149999999999999" hidden="1" customHeight="1" x14ac:dyDescent="0.35">
      <c r="A45" s="128" t="s">
        <v>119</v>
      </c>
      <c r="B45" s="265" t="b">
        <v>0</v>
      </c>
      <c r="C45" s="242"/>
      <c r="D45" s="239">
        <f t="shared" si="1"/>
        <v>0</v>
      </c>
      <c r="E45" s="122"/>
      <c r="F45" s="122"/>
      <c r="G45" s="122"/>
      <c r="H45" s="122"/>
      <c r="J45" s="78"/>
      <c r="K45" s="78"/>
      <c r="L45" s="78"/>
      <c r="M45" s="78"/>
      <c r="N45" s="78"/>
      <c r="O45" s="78"/>
      <c r="P45" s="78"/>
      <c r="Q45" s="78"/>
    </row>
    <row r="46" spans="1:17" s="18" customFormat="1" ht="17.149999999999999" hidden="1" customHeight="1" x14ac:dyDescent="0.35">
      <c r="A46" s="128" t="s">
        <v>118</v>
      </c>
      <c r="B46" s="265" t="b">
        <v>0</v>
      </c>
      <c r="C46" s="242"/>
      <c r="D46" s="239">
        <f t="shared" si="1"/>
        <v>0</v>
      </c>
      <c r="E46" s="122"/>
      <c r="F46" s="122"/>
      <c r="G46" s="122"/>
      <c r="H46" s="122"/>
      <c r="J46" s="78"/>
      <c r="K46" s="78"/>
      <c r="L46" s="78"/>
      <c r="M46" s="78"/>
      <c r="N46" s="78"/>
      <c r="O46" s="78"/>
      <c r="P46" s="78"/>
      <c r="Q46" s="78"/>
    </row>
    <row r="47" spans="1:17" s="18" customFormat="1" ht="17.149999999999999" hidden="1" customHeight="1" x14ac:dyDescent="0.35">
      <c r="A47" s="128" t="s">
        <v>118</v>
      </c>
      <c r="B47" s="265" t="b">
        <v>0</v>
      </c>
      <c r="C47" s="242"/>
      <c r="D47" s="239">
        <f t="shared" si="1"/>
        <v>0</v>
      </c>
      <c r="E47" s="122"/>
      <c r="F47" s="122"/>
      <c r="G47" s="122"/>
      <c r="H47" s="122"/>
      <c r="J47" s="78"/>
      <c r="K47" s="78"/>
      <c r="L47" s="78"/>
      <c r="M47" s="78"/>
      <c r="N47" s="78"/>
      <c r="O47" s="78"/>
      <c r="P47" s="78"/>
      <c r="Q47" s="78"/>
    </row>
    <row r="48" spans="1:17" s="18" customFormat="1" ht="17.149999999999999" hidden="1" customHeight="1" x14ac:dyDescent="0.35">
      <c r="A48" s="128" t="s">
        <v>118</v>
      </c>
      <c r="B48" s="265" t="b">
        <v>0</v>
      </c>
      <c r="C48" s="242"/>
      <c r="D48" s="239">
        <f t="shared" si="1"/>
        <v>0</v>
      </c>
      <c r="E48" s="122"/>
      <c r="F48" s="122"/>
      <c r="G48" s="122"/>
      <c r="H48" s="122"/>
      <c r="J48" s="78"/>
      <c r="K48" s="78"/>
      <c r="L48" s="78"/>
      <c r="M48" s="78"/>
      <c r="N48" s="78"/>
      <c r="O48" s="78"/>
      <c r="P48" s="78"/>
      <c r="Q48" s="78"/>
    </row>
    <row r="49" spans="1:17" s="18" customFormat="1" ht="17.149999999999999" hidden="1" customHeight="1" x14ac:dyDescent="0.35">
      <c r="A49" s="128" t="s">
        <v>118</v>
      </c>
      <c r="B49" s="265" t="b">
        <v>0</v>
      </c>
      <c r="C49" s="242"/>
      <c r="D49" s="239">
        <f t="shared" si="1"/>
        <v>0</v>
      </c>
      <c r="E49" s="122"/>
      <c r="F49" s="122"/>
      <c r="G49" s="122"/>
      <c r="H49" s="122"/>
      <c r="J49" s="78"/>
      <c r="K49" s="78"/>
      <c r="L49" s="78"/>
      <c r="M49" s="78"/>
      <c r="N49" s="78"/>
      <c r="O49" s="78"/>
      <c r="P49" s="78"/>
      <c r="Q49" s="78"/>
    </row>
    <row r="50" spans="1:17" s="18" customFormat="1" ht="17.149999999999999" hidden="1" customHeight="1" x14ac:dyDescent="0.35">
      <c r="A50" s="128" t="s">
        <v>118</v>
      </c>
      <c r="B50" s="265" t="b">
        <v>0</v>
      </c>
      <c r="C50" s="242"/>
      <c r="D50" s="239">
        <f t="shared" si="1"/>
        <v>0</v>
      </c>
      <c r="E50" s="122"/>
      <c r="F50" s="122"/>
      <c r="G50" s="122"/>
      <c r="H50" s="122"/>
      <c r="J50" s="78"/>
      <c r="K50" s="78"/>
      <c r="L50" s="78"/>
      <c r="M50" s="78"/>
      <c r="N50" s="78"/>
      <c r="O50" s="78"/>
      <c r="P50" s="78"/>
      <c r="Q50" s="78"/>
    </row>
    <row r="51" spans="1:17" s="18" customFormat="1" ht="17.149999999999999" hidden="1" customHeight="1" x14ac:dyDescent="0.35">
      <c r="A51" s="128" t="s">
        <v>118</v>
      </c>
      <c r="B51" s="265" t="b">
        <v>0</v>
      </c>
      <c r="C51" s="242"/>
      <c r="D51" s="239">
        <f t="shared" si="1"/>
        <v>0</v>
      </c>
      <c r="E51" s="122"/>
      <c r="F51" s="122"/>
      <c r="G51" s="122"/>
      <c r="H51" s="122"/>
      <c r="J51" s="78"/>
      <c r="K51" s="78"/>
      <c r="L51" s="78"/>
      <c r="M51" s="78"/>
      <c r="N51" s="78"/>
      <c r="O51" s="78"/>
      <c r="P51" s="78"/>
      <c r="Q51" s="78"/>
    </row>
    <row r="52" spans="1:17" s="18" customFormat="1" ht="17.149999999999999" hidden="1" customHeight="1" x14ac:dyDescent="0.35">
      <c r="A52" s="128" t="s">
        <v>118</v>
      </c>
      <c r="B52" s="265" t="b">
        <v>0</v>
      </c>
      <c r="C52" s="242"/>
      <c r="D52" s="239">
        <f t="shared" si="1"/>
        <v>0</v>
      </c>
      <c r="E52" s="122"/>
      <c r="F52" s="122"/>
      <c r="G52" s="122"/>
      <c r="H52" s="122"/>
      <c r="J52" s="78"/>
      <c r="K52" s="78"/>
      <c r="L52" s="78"/>
      <c r="M52" s="78"/>
      <c r="N52" s="78"/>
      <c r="O52" s="78"/>
      <c r="P52" s="78"/>
      <c r="Q52" s="78"/>
    </row>
    <row r="53" spans="1:17" s="18" customFormat="1" ht="17.149999999999999" hidden="1" customHeight="1" x14ac:dyDescent="0.35">
      <c r="A53" s="152" t="s">
        <v>114</v>
      </c>
      <c r="B53" s="326"/>
      <c r="C53" s="119"/>
      <c r="D53" s="239"/>
      <c r="E53" s="121"/>
      <c r="F53" s="121"/>
      <c r="G53" s="121"/>
      <c r="H53" s="121"/>
      <c r="J53" s="78"/>
      <c r="K53" s="78"/>
      <c r="L53" s="78"/>
      <c r="M53" s="78"/>
      <c r="N53" s="78"/>
      <c r="O53" s="78"/>
      <c r="P53" s="78"/>
      <c r="Q53" s="78"/>
    </row>
    <row r="54" spans="1:17" s="18" customFormat="1" ht="17.149999999999999" hidden="1" customHeight="1" x14ac:dyDescent="0.35">
      <c r="A54" s="128" t="s">
        <v>446</v>
      </c>
      <c r="B54" s="265" t="b">
        <v>0</v>
      </c>
      <c r="C54" s="241"/>
      <c r="D54" s="239">
        <f t="shared" si="1"/>
        <v>0</v>
      </c>
      <c r="E54" s="120"/>
      <c r="F54" s="120"/>
      <c r="G54" s="120"/>
      <c r="H54" s="120"/>
      <c r="J54" s="78"/>
      <c r="K54" s="78"/>
      <c r="L54" s="78"/>
      <c r="M54" s="78"/>
      <c r="N54" s="78"/>
      <c r="O54" s="78"/>
      <c r="P54" s="78"/>
      <c r="Q54" s="78"/>
    </row>
    <row r="55" spans="1:17" s="18" customFormat="1" ht="17.149999999999999" hidden="1" customHeight="1" x14ac:dyDescent="0.35">
      <c r="A55" s="128" t="s">
        <v>451</v>
      </c>
      <c r="B55" s="265" t="b">
        <v>0</v>
      </c>
      <c r="C55" s="241"/>
      <c r="D55" s="239">
        <f t="shared" si="1"/>
        <v>0</v>
      </c>
      <c r="E55" s="120"/>
      <c r="F55" s="120"/>
      <c r="G55" s="120"/>
      <c r="H55" s="120"/>
      <c r="J55" s="78"/>
      <c r="K55" s="78"/>
      <c r="L55" s="78"/>
      <c r="M55" s="78"/>
      <c r="N55" s="78"/>
      <c r="O55" s="78"/>
      <c r="P55" s="78"/>
      <c r="Q55" s="78"/>
    </row>
    <row r="56" spans="1:17" s="18" customFormat="1" ht="17.149999999999999" hidden="1" customHeight="1" x14ac:dyDescent="0.35">
      <c r="A56" s="128" t="s">
        <v>448</v>
      </c>
      <c r="B56" s="265" t="b">
        <v>0</v>
      </c>
      <c r="C56" s="240"/>
      <c r="D56" s="239">
        <f t="shared" si="1"/>
        <v>0</v>
      </c>
      <c r="E56" s="122"/>
      <c r="F56" s="122"/>
      <c r="G56" s="122"/>
      <c r="H56" s="122"/>
      <c r="J56" s="78"/>
      <c r="K56" s="78"/>
      <c r="L56" s="78"/>
      <c r="M56" s="78"/>
      <c r="N56" s="78"/>
      <c r="O56" s="78"/>
      <c r="P56" s="78"/>
      <c r="Q56" s="78"/>
    </row>
    <row r="57" spans="1:17" s="18" customFormat="1" ht="17.149999999999999" hidden="1" customHeight="1" x14ac:dyDescent="0.35">
      <c r="A57" s="128" t="s">
        <v>449</v>
      </c>
      <c r="B57" s="265" t="b">
        <v>0</v>
      </c>
      <c r="C57" s="240"/>
      <c r="D57" s="239">
        <f t="shared" si="1"/>
        <v>0</v>
      </c>
      <c r="E57" s="122"/>
      <c r="F57" s="122"/>
      <c r="G57" s="122"/>
      <c r="H57" s="122"/>
      <c r="J57" s="78"/>
      <c r="K57" s="78"/>
      <c r="L57" s="78"/>
      <c r="M57" s="78"/>
      <c r="N57" s="78"/>
      <c r="O57" s="78"/>
      <c r="P57" s="78"/>
      <c r="Q57" s="78"/>
    </row>
    <row r="58" spans="1:17" s="18" customFormat="1" ht="17.149999999999999" hidden="1" customHeight="1" x14ac:dyDescent="0.35">
      <c r="A58" s="128" t="s">
        <v>110</v>
      </c>
      <c r="B58" s="265" t="b">
        <v>0</v>
      </c>
      <c r="C58" s="239"/>
      <c r="D58" s="239">
        <f t="shared" si="1"/>
        <v>0</v>
      </c>
      <c r="E58" s="120"/>
      <c r="F58" s="120"/>
      <c r="G58" s="120"/>
      <c r="H58" s="120"/>
      <c r="J58" s="78"/>
      <c r="K58" s="78"/>
      <c r="L58" s="78"/>
      <c r="M58" s="78"/>
      <c r="N58" s="78"/>
      <c r="O58" s="78"/>
      <c r="P58" s="78"/>
      <c r="Q58" s="78"/>
    </row>
    <row r="59" spans="1:17" s="18" customFormat="1" ht="17.149999999999999" hidden="1" customHeight="1" x14ac:dyDescent="0.35">
      <c r="A59" s="128" t="s">
        <v>111</v>
      </c>
      <c r="B59" s="265" t="b">
        <v>0</v>
      </c>
      <c r="C59" s="239"/>
      <c r="D59" s="239">
        <f t="shared" si="1"/>
        <v>0</v>
      </c>
      <c r="E59" s="120"/>
      <c r="F59" s="120"/>
      <c r="G59" s="120"/>
      <c r="H59" s="120"/>
      <c r="J59" s="78"/>
      <c r="K59" s="78"/>
      <c r="L59" s="78"/>
      <c r="M59" s="78"/>
      <c r="N59" s="78"/>
      <c r="O59" s="78"/>
      <c r="P59" s="78"/>
      <c r="Q59" s="78"/>
    </row>
    <row r="60" spans="1:17" s="18" customFormat="1" ht="17.149999999999999" hidden="1" customHeight="1" thickBot="1" x14ac:dyDescent="0.4">
      <c r="A60" s="129" t="s">
        <v>450</v>
      </c>
      <c r="B60" s="281" t="b">
        <v>0</v>
      </c>
      <c r="C60" s="239"/>
      <c r="D60" s="239">
        <f t="shared" si="1"/>
        <v>0</v>
      </c>
      <c r="E60" s="120"/>
      <c r="F60" s="120"/>
      <c r="G60" s="120"/>
      <c r="H60" s="120"/>
      <c r="J60" s="78"/>
      <c r="K60" s="78"/>
      <c r="L60" s="78"/>
      <c r="M60" s="78"/>
      <c r="N60" s="78"/>
      <c r="O60" s="78"/>
      <c r="P60" s="78"/>
      <c r="Q60" s="78"/>
    </row>
    <row r="61" spans="1:17" s="18" customFormat="1" ht="17.149999999999999" hidden="1" customHeight="1" thickTop="1" thickBot="1" x14ac:dyDescent="0.4">
      <c r="B61" s="120"/>
      <c r="C61" s="239"/>
      <c r="D61" s="239"/>
      <c r="E61" s="120"/>
      <c r="F61" s="120"/>
      <c r="G61" s="120"/>
      <c r="H61" s="120"/>
      <c r="J61" s="78"/>
      <c r="K61" s="78"/>
      <c r="L61" s="78"/>
      <c r="M61" s="78"/>
      <c r="N61" s="78"/>
      <c r="O61" s="78"/>
      <c r="P61" s="78"/>
      <c r="Q61" s="78"/>
    </row>
    <row r="62" spans="1:17" ht="16" hidden="1" thickBot="1" x14ac:dyDescent="0.4">
      <c r="A62" s="134" t="s">
        <v>27</v>
      </c>
      <c r="B62" s="135">
        <f>IFERROR(D62/C62,0)</f>
        <v>0</v>
      </c>
      <c r="C62" s="137"/>
      <c r="D62" s="137">
        <f>SUM(D40:D60)</f>
        <v>0</v>
      </c>
      <c r="E62"/>
      <c r="F62" s="40"/>
      <c r="G62" s="40"/>
      <c r="H62" s="40"/>
    </row>
    <row r="63" spans="1:17" hidden="1" x14ac:dyDescent="0.35">
      <c r="A63" s="153"/>
      <c r="B63" s="154"/>
      <c r="C63" s="137"/>
      <c r="D63" s="137"/>
      <c r="E63"/>
      <c r="F63" s="40"/>
      <c r="G63" s="40"/>
      <c r="H63" s="40"/>
    </row>
    <row r="64" spans="1:17" hidden="1" x14ac:dyDescent="0.35">
      <c r="A64" s="153"/>
      <c r="B64" s="154"/>
      <c r="C64" s="137"/>
      <c r="D64" s="137"/>
      <c r="E64"/>
      <c r="F64" s="40"/>
      <c r="G64" s="40"/>
      <c r="H64" s="40"/>
    </row>
    <row r="65" spans="1:17" hidden="1" x14ac:dyDescent="0.35">
      <c r="A65" s="153"/>
      <c r="B65" s="154"/>
      <c r="C65" s="137"/>
      <c r="D65" s="137"/>
      <c r="E65"/>
      <c r="F65" s="40"/>
      <c r="G65" s="40"/>
      <c r="H65" s="40"/>
    </row>
    <row r="66" spans="1:17" ht="16" hidden="1" thickBot="1" x14ac:dyDescent="0.4">
      <c r="A66" s="153"/>
      <c r="B66" s="154"/>
      <c r="C66" s="137"/>
      <c r="D66" s="137"/>
      <c r="E66"/>
      <c r="F66" s="40"/>
      <c r="G66" s="40"/>
      <c r="H66" s="40"/>
    </row>
    <row r="67" spans="1:17" s="18" customFormat="1" ht="16.5" hidden="1" thickTop="1" thickBot="1" x14ac:dyDescent="0.4">
      <c r="A67" s="213"/>
      <c r="B67" s="125" t="s">
        <v>225</v>
      </c>
      <c r="C67" s="126"/>
      <c r="D67" s="132" t="s">
        <v>25</v>
      </c>
      <c r="E67" s="80"/>
      <c r="F67" s="80"/>
      <c r="G67" s="80"/>
      <c r="H67" s="79"/>
      <c r="J67" s="78"/>
      <c r="K67" s="78"/>
      <c r="L67" s="78"/>
      <c r="M67" s="78"/>
      <c r="N67" s="78"/>
      <c r="O67" s="78"/>
      <c r="P67" s="78"/>
      <c r="Q67" s="78"/>
    </row>
    <row r="68" spans="1:17" s="18" customFormat="1" ht="16" hidden="1" thickTop="1" x14ac:dyDescent="0.35">
      <c r="A68" s="133" t="s">
        <v>78</v>
      </c>
      <c r="B68" s="384"/>
      <c r="C68" s="238"/>
      <c r="D68" s="238"/>
      <c r="E68" s="80"/>
      <c r="F68" s="80"/>
      <c r="G68" s="80"/>
      <c r="H68" s="79"/>
      <c r="J68" s="78"/>
      <c r="K68" s="78"/>
      <c r="L68" s="78"/>
      <c r="M68" s="78"/>
      <c r="N68" s="78"/>
      <c r="O68" s="78"/>
      <c r="P68" s="78"/>
      <c r="Q68" s="78"/>
    </row>
    <row r="69" spans="1:17" s="18" customFormat="1" ht="17.25" hidden="1" customHeight="1" x14ac:dyDescent="0.35">
      <c r="A69" s="149" t="s">
        <v>113</v>
      </c>
      <c r="B69" s="386"/>
      <c r="C69" s="238"/>
      <c r="D69" s="238"/>
      <c r="E69" s="80"/>
      <c r="F69" s="80"/>
      <c r="G69" s="80"/>
      <c r="H69" s="79"/>
      <c r="J69" s="78"/>
      <c r="K69" s="78"/>
      <c r="L69" s="78"/>
      <c r="M69" s="78"/>
      <c r="N69" s="78"/>
      <c r="O69" s="78"/>
      <c r="P69" s="78"/>
      <c r="Q69" s="78"/>
    </row>
    <row r="70" spans="1:17" s="18" customFormat="1" hidden="1" x14ac:dyDescent="0.35">
      <c r="A70" s="128" t="s">
        <v>226</v>
      </c>
      <c r="B70" s="265" t="b">
        <v>0</v>
      </c>
      <c r="C70" s="238"/>
      <c r="D70" s="239">
        <f t="shared" ref="D70:D85" si="2">IF(B70,C70,0)</f>
        <v>0</v>
      </c>
      <c r="E70" s="80"/>
      <c r="F70" s="80"/>
      <c r="G70" s="80"/>
      <c r="H70" s="79"/>
      <c r="J70" s="78"/>
      <c r="K70" s="78"/>
      <c r="L70" s="78"/>
      <c r="M70" s="78"/>
      <c r="N70" s="78"/>
      <c r="O70" s="78"/>
      <c r="P70" s="78"/>
      <c r="Q70" s="78"/>
    </row>
    <row r="71" spans="1:17" s="18" customFormat="1" ht="17.149999999999999" hidden="1" customHeight="1" x14ac:dyDescent="0.35">
      <c r="A71" s="128" t="s">
        <v>121</v>
      </c>
      <c r="B71" s="265" t="b">
        <v>0</v>
      </c>
      <c r="C71" s="241"/>
      <c r="D71" s="239">
        <f t="shared" si="2"/>
        <v>0</v>
      </c>
      <c r="E71" s="121"/>
      <c r="F71" s="121"/>
      <c r="G71" s="121"/>
      <c r="H71" s="121"/>
      <c r="J71" s="78"/>
      <c r="K71" s="78"/>
      <c r="L71" s="78"/>
      <c r="M71" s="78"/>
      <c r="N71" s="78"/>
      <c r="O71" s="78"/>
      <c r="P71" s="78"/>
      <c r="Q71" s="78"/>
    </row>
    <row r="72" spans="1:17" s="18" customFormat="1" hidden="1" x14ac:dyDescent="0.35">
      <c r="A72" s="128" t="s">
        <v>122</v>
      </c>
      <c r="B72" s="265" t="b">
        <v>0</v>
      </c>
      <c r="C72" s="238"/>
      <c r="D72" s="239">
        <f t="shared" si="2"/>
        <v>0</v>
      </c>
      <c r="E72" s="80"/>
      <c r="F72" s="80"/>
      <c r="G72" s="80"/>
      <c r="H72" s="79"/>
      <c r="J72" s="78"/>
      <c r="K72" s="78"/>
      <c r="L72" s="78"/>
      <c r="M72" s="78"/>
      <c r="N72" s="78"/>
      <c r="O72" s="78"/>
      <c r="P72" s="78"/>
      <c r="Q72" s="78"/>
    </row>
    <row r="73" spans="1:17" s="18" customFormat="1" hidden="1" x14ac:dyDescent="0.35">
      <c r="A73" s="128" t="s">
        <v>119</v>
      </c>
      <c r="B73" s="265" t="b">
        <v>0</v>
      </c>
      <c r="C73" s="238"/>
      <c r="D73" s="239">
        <f t="shared" si="2"/>
        <v>0</v>
      </c>
      <c r="E73" s="80"/>
      <c r="F73" s="80"/>
      <c r="G73" s="80"/>
      <c r="H73" s="79"/>
      <c r="J73" s="78"/>
      <c r="K73" s="78"/>
      <c r="L73" s="78"/>
      <c r="M73" s="78"/>
      <c r="N73" s="78"/>
      <c r="O73" s="78"/>
      <c r="P73" s="78"/>
      <c r="Q73" s="78"/>
    </row>
    <row r="74" spans="1:17" s="18" customFormat="1" hidden="1" x14ac:dyDescent="0.35">
      <c r="A74" s="128" t="s">
        <v>119</v>
      </c>
      <c r="B74" s="265" t="b">
        <v>0</v>
      </c>
      <c r="C74" s="238"/>
      <c r="D74" s="239">
        <f t="shared" si="2"/>
        <v>0</v>
      </c>
      <c r="E74" s="80"/>
      <c r="F74" s="80"/>
      <c r="G74" s="80"/>
      <c r="H74" s="79"/>
      <c r="J74" s="78"/>
      <c r="K74" s="78"/>
      <c r="L74" s="78"/>
      <c r="M74" s="78"/>
      <c r="N74" s="78"/>
      <c r="O74" s="78"/>
      <c r="P74" s="78"/>
      <c r="Q74" s="78"/>
    </row>
    <row r="75" spans="1:17" s="18" customFormat="1" hidden="1" x14ac:dyDescent="0.35">
      <c r="A75" s="128" t="s">
        <v>118</v>
      </c>
      <c r="B75" s="265" t="b">
        <v>0</v>
      </c>
      <c r="C75" s="238"/>
      <c r="D75" s="239">
        <f t="shared" si="2"/>
        <v>0</v>
      </c>
      <c r="E75" s="80"/>
      <c r="F75" s="80"/>
      <c r="G75" s="80"/>
      <c r="H75" s="79"/>
      <c r="J75" s="78"/>
      <c r="K75" s="78"/>
      <c r="L75" s="78"/>
      <c r="M75" s="78"/>
      <c r="N75" s="78"/>
      <c r="O75" s="78"/>
      <c r="P75" s="78"/>
      <c r="Q75" s="78"/>
    </row>
    <row r="76" spans="1:17" s="18" customFormat="1" hidden="1" x14ac:dyDescent="0.35">
      <c r="A76" s="128" t="s">
        <v>118</v>
      </c>
      <c r="B76" s="265" t="b">
        <v>0</v>
      </c>
      <c r="C76" s="238"/>
      <c r="D76" s="239">
        <f t="shared" si="2"/>
        <v>0</v>
      </c>
      <c r="E76" s="80"/>
      <c r="F76" s="80"/>
      <c r="G76" s="80"/>
      <c r="H76" s="79"/>
      <c r="J76" s="78"/>
      <c r="K76" s="78"/>
      <c r="L76" s="78"/>
      <c r="M76" s="78"/>
      <c r="N76" s="78"/>
      <c r="O76" s="78"/>
      <c r="P76" s="78"/>
      <c r="Q76" s="78"/>
    </row>
    <row r="77" spans="1:17" s="18" customFormat="1" ht="17.149999999999999" hidden="1" customHeight="1" x14ac:dyDescent="0.35">
      <c r="A77" s="128" t="s">
        <v>118</v>
      </c>
      <c r="B77" s="265" t="b">
        <v>0</v>
      </c>
      <c r="C77" s="239"/>
      <c r="D77" s="239">
        <f t="shared" si="2"/>
        <v>0</v>
      </c>
      <c r="E77" s="120"/>
      <c r="F77" s="120"/>
      <c r="G77" s="120"/>
      <c r="H77" s="120"/>
      <c r="J77" s="78"/>
      <c r="K77" s="78"/>
      <c r="L77" s="78"/>
      <c r="M77" s="78"/>
      <c r="N77" s="78"/>
      <c r="O77" s="78"/>
      <c r="P77" s="78"/>
      <c r="Q77" s="78"/>
    </row>
    <row r="78" spans="1:17" s="18" customFormat="1" hidden="1" x14ac:dyDescent="0.35">
      <c r="A78" s="152" t="s">
        <v>114</v>
      </c>
      <c r="B78" s="326"/>
      <c r="C78" s="238"/>
      <c r="D78" s="239"/>
      <c r="E78" s="80"/>
      <c r="F78" s="80"/>
      <c r="G78" s="80"/>
      <c r="H78" s="79"/>
      <c r="J78" s="78"/>
      <c r="K78" s="78"/>
      <c r="L78" s="78"/>
      <c r="M78" s="78"/>
      <c r="N78" s="78"/>
      <c r="O78" s="78"/>
      <c r="P78" s="78"/>
      <c r="Q78" s="78"/>
    </row>
    <row r="79" spans="1:17" s="18" customFormat="1" hidden="1" x14ac:dyDescent="0.35">
      <c r="A79" s="128" t="s">
        <v>446</v>
      </c>
      <c r="B79" s="265" t="b">
        <v>0</v>
      </c>
      <c r="C79" s="241"/>
      <c r="D79" s="239">
        <f t="shared" si="2"/>
        <v>0</v>
      </c>
      <c r="E79" s="80"/>
      <c r="F79" s="80"/>
      <c r="G79" s="80"/>
      <c r="H79" s="79"/>
      <c r="J79" s="78"/>
      <c r="K79" s="78"/>
      <c r="L79" s="78"/>
      <c r="M79" s="78"/>
      <c r="N79" s="78"/>
      <c r="O79" s="78"/>
      <c r="P79" s="78"/>
      <c r="Q79" s="78"/>
    </row>
    <row r="80" spans="1:17" s="18" customFormat="1" hidden="1" x14ac:dyDescent="0.35">
      <c r="A80" s="128" t="s">
        <v>451</v>
      </c>
      <c r="B80" s="265" t="b">
        <v>0</v>
      </c>
      <c r="C80" s="241"/>
      <c r="D80" s="239">
        <f t="shared" si="2"/>
        <v>0</v>
      </c>
      <c r="E80" s="80"/>
      <c r="F80" s="80"/>
      <c r="G80" s="80"/>
      <c r="H80" s="79"/>
      <c r="J80" s="78"/>
      <c r="K80" s="78"/>
      <c r="L80" s="78"/>
      <c r="M80" s="78"/>
      <c r="N80" s="78"/>
      <c r="O80" s="78"/>
      <c r="P80" s="78"/>
      <c r="Q80" s="78"/>
    </row>
    <row r="81" spans="1:17" s="18" customFormat="1" hidden="1" x14ac:dyDescent="0.35">
      <c r="A81" s="128" t="s">
        <v>448</v>
      </c>
      <c r="B81" s="265" t="b">
        <v>0</v>
      </c>
      <c r="C81" s="240"/>
      <c r="D81" s="239">
        <f t="shared" si="2"/>
        <v>0</v>
      </c>
      <c r="E81" s="80"/>
      <c r="F81" s="80"/>
      <c r="G81" s="80"/>
      <c r="H81" s="79"/>
      <c r="J81" s="78"/>
      <c r="K81" s="78"/>
      <c r="L81" s="78"/>
      <c r="M81" s="78"/>
      <c r="N81" s="78"/>
      <c r="O81" s="78"/>
      <c r="P81" s="78"/>
      <c r="Q81" s="78"/>
    </row>
    <row r="82" spans="1:17" s="18" customFormat="1" hidden="1" x14ac:dyDescent="0.35">
      <c r="A82" s="128" t="s">
        <v>449</v>
      </c>
      <c r="B82" s="265" t="b">
        <v>0</v>
      </c>
      <c r="C82" s="240"/>
      <c r="D82" s="239">
        <f t="shared" si="2"/>
        <v>0</v>
      </c>
      <c r="E82" s="80"/>
      <c r="F82" s="80"/>
      <c r="G82" s="80"/>
      <c r="H82" s="79"/>
      <c r="J82" s="78"/>
      <c r="K82" s="78"/>
      <c r="L82" s="78"/>
      <c r="M82" s="78"/>
      <c r="N82" s="78"/>
      <c r="O82" s="78"/>
      <c r="P82" s="78"/>
      <c r="Q82" s="78"/>
    </row>
    <row r="83" spans="1:17" s="18" customFormat="1" hidden="1" x14ac:dyDescent="0.35">
      <c r="A83" s="128" t="s">
        <v>110</v>
      </c>
      <c r="B83" s="265" t="b">
        <v>0</v>
      </c>
      <c r="C83" s="239"/>
      <c r="D83" s="239">
        <f t="shared" si="2"/>
        <v>0</v>
      </c>
      <c r="E83" s="80"/>
      <c r="F83" s="80"/>
      <c r="G83" s="80"/>
      <c r="H83" s="79"/>
      <c r="J83" s="78"/>
      <c r="K83" s="78"/>
      <c r="L83" s="78"/>
      <c r="M83" s="78"/>
      <c r="N83" s="78"/>
      <c r="O83" s="78"/>
      <c r="P83" s="78"/>
      <c r="Q83" s="78"/>
    </row>
    <row r="84" spans="1:17" s="18" customFormat="1" hidden="1" x14ac:dyDescent="0.35">
      <c r="A84" s="128" t="s">
        <v>111</v>
      </c>
      <c r="B84" s="265" t="b">
        <v>0</v>
      </c>
      <c r="C84" s="239"/>
      <c r="D84" s="239">
        <f t="shared" si="2"/>
        <v>0</v>
      </c>
      <c r="E84" s="80"/>
      <c r="F84" s="80"/>
      <c r="G84" s="80"/>
      <c r="H84" s="79"/>
      <c r="J84" s="78"/>
      <c r="K84" s="78"/>
      <c r="L84" s="78"/>
      <c r="M84" s="78"/>
      <c r="N84" s="78"/>
      <c r="O84" s="78"/>
      <c r="P84" s="78"/>
      <c r="Q84" s="78"/>
    </row>
    <row r="85" spans="1:17" s="18" customFormat="1" ht="16" hidden="1" thickBot="1" x14ac:dyDescent="0.4">
      <c r="A85" s="129" t="s">
        <v>450</v>
      </c>
      <c r="B85" s="338" t="b">
        <v>0</v>
      </c>
      <c r="C85" s="239"/>
      <c r="D85" s="239">
        <f t="shared" si="2"/>
        <v>0</v>
      </c>
      <c r="E85" s="80"/>
      <c r="F85" s="80"/>
      <c r="G85" s="80"/>
      <c r="H85" s="79"/>
      <c r="J85" s="78"/>
      <c r="K85" s="78"/>
      <c r="L85" s="78"/>
      <c r="M85" s="78"/>
      <c r="N85" s="78"/>
      <c r="O85" s="78"/>
      <c r="P85" s="78"/>
      <c r="Q85" s="78"/>
    </row>
    <row r="86" spans="1:17" s="18" customFormat="1" ht="17.149999999999999" hidden="1" customHeight="1" thickTop="1" thickBot="1" x14ac:dyDescent="0.4">
      <c r="B86" s="120"/>
      <c r="C86" s="239"/>
      <c r="D86" s="239"/>
      <c r="E86" s="120"/>
      <c r="F86" s="120"/>
      <c r="G86" s="120"/>
      <c r="H86" s="120"/>
      <c r="J86" s="78"/>
      <c r="K86" s="78"/>
      <c r="L86" s="78"/>
      <c r="M86" s="78"/>
      <c r="N86" s="78"/>
      <c r="O86" s="78"/>
      <c r="P86" s="78"/>
      <c r="Q86" s="78"/>
    </row>
    <row r="87" spans="1:17" ht="16" hidden="1" thickBot="1" x14ac:dyDescent="0.4">
      <c r="A87" s="134" t="s">
        <v>27</v>
      </c>
      <c r="B87" s="135">
        <f>IFERROR(D87/C87,0)</f>
        <v>0</v>
      </c>
      <c r="C87" s="137"/>
      <c r="D87" s="137">
        <f>SUM(D70:D85)</f>
        <v>0</v>
      </c>
      <c r="E87"/>
      <c r="F87" s="40"/>
      <c r="G87" s="40"/>
      <c r="H87" s="40"/>
    </row>
    <row r="88" spans="1:17" s="18" customFormat="1" hidden="1" x14ac:dyDescent="0.35">
      <c r="A88" s="80"/>
      <c r="B88" s="80"/>
      <c r="C88" s="238"/>
      <c r="D88" s="238"/>
      <c r="E88" s="80"/>
      <c r="F88" s="80"/>
      <c r="G88" s="80"/>
      <c r="H88" s="79"/>
      <c r="J88" s="78"/>
      <c r="K88" s="78"/>
      <c r="L88" s="78"/>
      <c r="M88" s="78"/>
      <c r="N88" s="78"/>
      <c r="O88" s="78"/>
      <c r="P88" s="78"/>
      <c r="Q88" s="78"/>
    </row>
    <row r="89" spans="1:17" s="18" customFormat="1" hidden="1" x14ac:dyDescent="0.35">
      <c r="A89" s="80"/>
      <c r="B89" s="80"/>
      <c r="C89" s="238"/>
      <c r="D89" s="238"/>
      <c r="E89" s="80"/>
      <c r="F89" s="80"/>
      <c r="G89" s="80"/>
      <c r="H89" s="79"/>
      <c r="J89" s="78"/>
      <c r="K89" s="78"/>
      <c r="L89" s="78"/>
      <c r="M89" s="78"/>
      <c r="N89" s="78"/>
      <c r="O89" s="78"/>
      <c r="P89" s="78"/>
      <c r="Q89" s="78"/>
    </row>
    <row r="90" spans="1:17" s="18" customFormat="1" hidden="1" x14ac:dyDescent="0.35">
      <c r="A90" s="80"/>
      <c r="B90" s="80"/>
      <c r="C90" s="238"/>
      <c r="D90" s="238"/>
      <c r="E90" s="80"/>
      <c r="F90" s="80"/>
      <c r="G90" s="80"/>
      <c r="H90" s="79"/>
      <c r="J90" s="78"/>
      <c r="K90" s="78"/>
      <c r="L90" s="78"/>
      <c r="M90" s="78"/>
      <c r="N90" s="78"/>
      <c r="O90" s="78"/>
      <c r="P90" s="78"/>
      <c r="Q90" s="78"/>
    </row>
    <row r="91" spans="1:17" s="18" customFormat="1" ht="16" hidden="1" thickBot="1" x14ac:dyDescent="0.4">
      <c r="A91" s="80"/>
      <c r="B91" s="80"/>
      <c r="C91" s="238"/>
      <c r="D91" s="238"/>
      <c r="E91" s="80"/>
      <c r="F91" s="80"/>
      <c r="G91" s="80"/>
      <c r="H91" s="79"/>
      <c r="J91" s="78"/>
      <c r="K91" s="78"/>
      <c r="L91" s="78"/>
      <c r="M91" s="78"/>
      <c r="N91" s="78"/>
      <c r="O91" s="78"/>
      <c r="P91" s="78"/>
      <c r="Q91" s="78"/>
    </row>
    <row r="92" spans="1:17" s="18" customFormat="1" ht="16.5" hidden="1" thickTop="1" thickBot="1" x14ac:dyDescent="0.4">
      <c r="A92" s="213"/>
      <c r="B92" s="125" t="s">
        <v>225</v>
      </c>
      <c r="C92" s="126"/>
      <c r="D92" s="132" t="s">
        <v>25</v>
      </c>
      <c r="E92" s="80"/>
      <c r="F92" s="80"/>
      <c r="G92" s="80"/>
      <c r="H92" s="79"/>
      <c r="J92" s="78"/>
      <c r="K92" s="78"/>
      <c r="L92" s="78"/>
      <c r="M92" s="78"/>
      <c r="N92" s="78"/>
      <c r="O92" s="78"/>
      <c r="P92" s="78"/>
      <c r="Q92" s="78"/>
    </row>
    <row r="93" spans="1:17" s="18" customFormat="1" ht="16" hidden="1" thickTop="1" x14ac:dyDescent="0.35">
      <c r="A93" s="133" t="s">
        <v>75</v>
      </c>
      <c r="B93" s="384"/>
      <c r="C93" s="238"/>
      <c r="D93" s="238"/>
      <c r="E93" s="80"/>
      <c r="F93" s="80"/>
      <c r="G93" s="80"/>
      <c r="H93" s="79"/>
      <c r="J93" s="78"/>
      <c r="K93" s="78"/>
      <c r="L93" s="78"/>
      <c r="M93" s="78"/>
      <c r="N93" s="78"/>
      <c r="O93" s="78"/>
      <c r="P93" s="78"/>
      <c r="Q93" s="78"/>
    </row>
    <row r="94" spans="1:17" s="18" customFormat="1" ht="18" hidden="1" customHeight="1" x14ac:dyDescent="0.35">
      <c r="A94" s="149" t="s">
        <v>113</v>
      </c>
      <c r="B94" s="386"/>
      <c r="C94" s="238"/>
      <c r="D94" s="238"/>
      <c r="E94" s="80"/>
      <c r="F94" s="80"/>
      <c r="G94" s="80"/>
      <c r="H94" s="79"/>
      <c r="J94" s="78"/>
      <c r="K94" s="78"/>
      <c r="L94" s="78"/>
      <c r="M94" s="78"/>
      <c r="N94" s="78"/>
      <c r="O94" s="78"/>
      <c r="P94" s="78"/>
      <c r="Q94" s="78"/>
    </row>
    <row r="95" spans="1:17" s="18" customFormat="1" hidden="1" x14ac:dyDescent="0.35">
      <c r="A95" s="128" t="s">
        <v>226</v>
      </c>
      <c r="B95" s="265" t="b">
        <v>0</v>
      </c>
      <c r="C95" s="238"/>
      <c r="D95" s="239">
        <f t="shared" ref="D95:D108" si="3">IF(B95,C95,0)</f>
        <v>0</v>
      </c>
      <c r="E95" s="80"/>
      <c r="F95" s="80"/>
      <c r="G95" s="80"/>
      <c r="H95" s="79"/>
      <c r="J95" s="78"/>
      <c r="K95" s="78"/>
      <c r="L95" s="78"/>
      <c r="M95" s="78"/>
      <c r="N95" s="78"/>
      <c r="O95" s="78"/>
      <c r="P95" s="78"/>
      <c r="Q95" s="78"/>
    </row>
    <row r="96" spans="1:17" s="18" customFormat="1" hidden="1" x14ac:dyDescent="0.35">
      <c r="A96" s="128" t="s">
        <v>121</v>
      </c>
      <c r="B96" s="265" t="b">
        <v>0</v>
      </c>
      <c r="C96" s="238"/>
      <c r="D96" s="239">
        <f t="shared" si="3"/>
        <v>0</v>
      </c>
      <c r="E96" s="80"/>
      <c r="F96" s="80"/>
      <c r="G96" s="80"/>
      <c r="H96" s="79"/>
      <c r="J96" s="78"/>
      <c r="K96" s="78"/>
      <c r="L96" s="78"/>
      <c r="M96" s="78"/>
      <c r="N96" s="78"/>
      <c r="O96" s="78"/>
      <c r="P96" s="78"/>
      <c r="Q96" s="78"/>
    </row>
    <row r="97" spans="1:17" s="18" customFormat="1" hidden="1" x14ac:dyDescent="0.35">
      <c r="A97" s="128" t="s">
        <v>122</v>
      </c>
      <c r="B97" s="265" t="b">
        <v>0</v>
      </c>
      <c r="C97" s="238"/>
      <c r="D97" s="239">
        <f t="shared" si="3"/>
        <v>0</v>
      </c>
      <c r="E97" s="80"/>
      <c r="F97" s="80"/>
      <c r="G97" s="80"/>
      <c r="H97" s="79"/>
      <c r="J97" s="78"/>
      <c r="K97" s="78"/>
      <c r="L97" s="78"/>
      <c r="M97" s="78"/>
      <c r="N97" s="78"/>
      <c r="O97" s="78"/>
      <c r="P97" s="78"/>
      <c r="Q97" s="78"/>
    </row>
    <row r="98" spans="1:17" s="18" customFormat="1" hidden="1" x14ac:dyDescent="0.35">
      <c r="A98" s="128" t="s">
        <v>119</v>
      </c>
      <c r="B98" s="265" t="b">
        <v>0</v>
      </c>
      <c r="C98" s="238"/>
      <c r="D98" s="239">
        <f t="shared" si="3"/>
        <v>0</v>
      </c>
      <c r="E98" s="80"/>
      <c r="F98" s="80"/>
      <c r="G98" s="80"/>
      <c r="H98" s="79"/>
      <c r="J98" s="78"/>
      <c r="K98" s="78"/>
      <c r="L98" s="78"/>
      <c r="M98" s="78"/>
      <c r="N98" s="78"/>
      <c r="O98" s="78"/>
      <c r="P98" s="78"/>
      <c r="Q98" s="78"/>
    </row>
    <row r="99" spans="1:17" s="18" customFormat="1" ht="17.149999999999999" hidden="1" customHeight="1" x14ac:dyDescent="0.35">
      <c r="A99" s="128" t="s">
        <v>117</v>
      </c>
      <c r="B99" s="265" t="b">
        <v>0</v>
      </c>
      <c r="C99" s="239"/>
      <c r="D99" s="239">
        <f t="shared" si="3"/>
        <v>0</v>
      </c>
      <c r="E99" s="120"/>
      <c r="F99" s="120"/>
      <c r="G99" s="120"/>
      <c r="H99" s="120"/>
      <c r="J99" s="78"/>
      <c r="K99" s="78"/>
      <c r="L99" s="78"/>
      <c r="M99" s="78"/>
      <c r="N99" s="78"/>
      <c r="O99" s="78"/>
      <c r="P99" s="78"/>
      <c r="Q99" s="78"/>
    </row>
    <row r="100" spans="1:17" s="18" customFormat="1" ht="17.149999999999999" hidden="1" customHeight="1" x14ac:dyDescent="0.35">
      <c r="A100" s="128" t="s">
        <v>118</v>
      </c>
      <c r="B100" s="265" t="b">
        <v>0</v>
      </c>
      <c r="C100" s="239"/>
      <c r="D100" s="239">
        <f t="shared" si="3"/>
        <v>0</v>
      </c>
      <c r="E100" s="120"/>
      <c r="F100" s="120"/>
      <c r="G100" s="120"/>
      <c r="H100" s="120"/>
      <c r="J100" s="78"/>
      <c r="K100" s="78"/>
      <c r="L100" s="78"/>
      <c r="M100" s="78"/>
      <c r="N100" s="78"/>
      <c r="O100" s="78"/>
      <c r="P100" s="78"/>
      <c r="Q100" s="78"/>
    </row>
    <row r="101" spans="1:17" s="18" customFormat="1" hidden="1" x14ac:dyDescent="0.35">
      <c r="A101" s="152" t="s">
        <v>114</v>
      </c>
      <c r="B101" s="326"/>
      <c r="C101" s="238"/>
      <c r="D101" s="239">
        <f t="shared" si="3"/>
        <v>0</v>
      </c>
      <c r="E101" s="80"/>
      <c r="F101" s="80"/>
      <c r="G101" s="80"/>
      <c r="H101" s="79"/>
      <c r="J101" s="78"/>
      <c r="K101" s="78"/>
      <c r="L101" s="78"/>
      <c r="M101" s="78"/>
      <c r="N101" s="78"/>
      <c r="O101" s="78"/>
      <c r="P101" s="78"/>
      <c r="Q101" s="78"/>
    </row>
    <row r="102" spans="1:17" s="18" customFormat="1" hidden="1" x14ac:dyDescent="0.35">
      <c r="A102" s="128" t="s">
        <v>446</v>
      </c>
      <c r="B102" s="265" t="b">
        <v>0</v>
      </c>
      <c r="C102" s="241"/>
      <c r="D102" s="239">
        <f t="shared" si="3"/>
        <v>0</v>
      </c>
      <c r="E102" s="80"/>
      <c r="F102" s="80"/>
      <c r="G102" s="80"/>
      <c r="H102" s="79"/>
      <c r="J102" s="78"/>
      <c r="K102" s="78"/>
      <c r="L102" s="78"/>
      <c r="M102" s="78"/>
      <c r="N102" s="78"/>
      <c r="O102" s="78"/>
      <c r="P102" s="78"/>
      <c r="Q102" s="78"/>
    </row>
    <row r="103" spans="1:17" s="18" customFormat="1" hidden="1" x14ac:dyDescent="0.35">
      <c r="A103" s="128" t="s">
        <v>451</v>
      </c>
      <c r="B103" s="265" t="b">
        <v>0</v>
      </c>
      <c r="C103" s="241"/>
      <c r="D103" s="239">
        <f t="shared" si="3"/>
        <v>0</v>
      </c>
      <c r="E103" s="80"/>
      <c r="F103" s="80"/>
      <c r="G103" s="80"/>
      <c r="H103" s="79"/>
      <c r="J103" s="78"/>
      <c r="K103" s="78"/>
      <c r="L103" s="78"/>
      <c r="M103" s="78"/>
      <c r="N103" s="78"/>
      <c r="O103" s="78"/>
      <c r="P103" s="78"/>
      <c r="Q103" s="78"/>
    </row>
    <row r="104" spans="1:17" s="18" customFormat="1" hidden="1" x14ac:dyDescent="0.35">
      <c r="A104" s="128" t="s">
        <v>448</v>
      </c>
      <c r="B104" s="265" t="b">
        <v>0</v>
      </c>
      <c r="C104" s="240"/>
      <c r="D104" s="239">
        <f t="shared" si="3"/>
        <v>0</v>
      </c>
      <c r="E104" s="80"/>
      <c r="F104" s="80"/>
      <c r="G104" s="80"/>
      <c r="H104" s="79"/>
      <c r="J104" s="78"/>
      <c r="K104" s="78"/>
      <c r="L104" s="78"/>
      <c r="M104" s="78"/>
      <c r="N104" s="78"/>
      <c r="O104" s="78"/>
      <c r="P104" s="78"/>
      <c r="Q104" s="78"/>
    </row>
    <row r="105" spans="1:17" s="18" customFormat="1" hidden="1" x14ac:dyDescent="0.35">
      <c r="A105" s="128" t="s">
        <v>449</v>
      </c>
      <c r="B105" s="265" t="b">
        <v>0</v>
      </c>
      <c r="C105" s="240"/>
      <c r="D105" s="239">
        <f t="shared" si="3"/>
        <v>0</v>
      </c>
      <c r="E105" s="80"/>
      <c r="F105" s="80"/>
      <c r="G105" s="80"/>
      <c r="H105" s="79"/>
      <c r="J105" s="78"/>
      <c r="K105" s="78"/>
      <c r="L105" s="78"/>
      <c r="M105" s="78"/>
      <c r="N105" s="78"/>
      <c r="O105" s="78"/>
      <c r="P105" s="78"/>
      <c r="Q105" s="78"/>
    </row>
    <row r="106" spans="1:17" s="18" customFormat="1" hidden="1" x14ac:dyDescent="0.35">
      <c r="A106" s="128" t="s">
        <v>110</v>
      </c>
      <c r="B106" s="265" t="b">
        <v>0</v>
      </c>
      <c r="C106" s="239"/>
      <c r="D106" s="239">
        <f t="shared" si="3"/>
        <v>0</v>
      </c>
      <c r="E106" s="80"/>
      <c r="F106" s="80"/>
      <c r="G106" s="80"/>
      <c r="H106" s="79"/>
      <c r="J106" s="78"/>
      <c r="K106" s="78"/>
      <c r="L106" s="78"/>
      <c r="M106" s="78"/>
      <c r="N106" s="78"/>
      <c r="O106" s="78"/>
      <c r="P106" s="78"/>
      <c r="Q106" s="78"/>
    </row>
    <row r="107" spans="1:17" s="18" customFormat="1" hidden="1" x14ac:dyDescent="0.35">
      <c r="A107" s="128" t="s">
        <v>111</v>
      </c>
      <c r="B107" s="265" t="b">
        <v>0</v>
      </c>
      <c r="C107" s="239"/>
      <c r="D107" s="239">
        <f t="shared" si="3"/>
        <v>0</v>
      </c>
      <c r="E107" s="80"/>
      <c r="F107" s="80"/>
      <c r="G107" s="80"/>
      <c r="H107" s="79"/>
      <c r="J107" s="78"/>
      <c r="K107" s="78"/>
      <c r="L107" s="78"/>
      <c r="M107" s="78"/>
      <c r="N107" s="78"/>
      <c r="O107" s="78"/>
      <c r="P107" s="78"/>
      <c r="Q107" s="78"/>
    </row>
    <row r="108" spans="1:17" s="18" customFormat="1" ht="16" hidden="1" thickBot="1" x14ac:dyDescent="0.4">
      <c r="A108" s="129" t="s">
        <v>450</v>
      </c>
      <c r="B108" s="281" t="b">
        <v>0</v>
      </c>
      <c r="C108" s="239"/>
      <c r="D108" s="239">
        <f t="shared" si="3"/>
        <v>0</v>
      </c>
      <c r="E108" s="80"/>
      <c r="F108" s="80"/>
      <c r="G108" s="80"/>
      <c r="H108" s="79"/>
      <c r="J108" s="78"/>
      <c r="K108" s="78"/>
      <c r="L108" s="78"/>
      <c r="M108" s="78"/>
      <c r="N108" s="78"/>
      <c r="O108" s="78"/>
      <c r="P108" s="78"/>
      <c r="Q108" s="78"/>
    </row>
    <row r="109" spans="1:17" s="18" customFormat="1" ht="16.5" hidden="1" thickTop="1" thickBot="1" x14ac:dyDescent="0.4">
      <c r="A109" s="124"/>
      <c r="B109" s="122"/>
      <c r="C109" s="239"/>
      <c r="D109" s="238"/>
      <c r="E109" s="80"/>
      <c r="F109" s="80"/>
      <c r="G109" s="80"/>
      <c r="H109" s="79"/>
      <c r="J109" s="78"/>
      <c r="K109" s="78"/>
      <c r="L109" s="78"/>
      <c r="M109" s="78"/>
      <c r="N109" s="78"/>
      <c r="O109" s="78"/>
      <c r="P109" s="78"/>
      <c r="Q109" s="78"/>
    </row>
    <row r="110" spans="1:17" s="18" customFormat="1" ht="16" hidden="1" thickBot="1" x14ac:dyDescent="0.4">
      <c r="A110" s="134" t="s">
        <v>27</v>
      </c>
      <c r="B110" s="135">
        <f>IFERROR(D110/C110,0)</f>
        <v>0</v>
      </c>
      <c r="C110" s="238"/>
      <c r="D110" s="238">
        <f>SUM(D95:D108)</f>
        <v>0</v>
      </c>
      <c r="E110" s="80"/>
      <c r="F110" s="80"/>
      <c r="G110" s="80"/>
      <c r="H110" s="79"/>
      <c r="J110" s="78"/>
      <c r="K110" s="78"/>
      <c r="L110" s="78"/>
      <c r="M110" s="78"/>
      <c r="N110" s="78"/>
      <c r="O110" s="78"/>
      <c r="P110" s="78"/>
      <c r="Q110" s="78"/>
    </row>
    <row r="111" spans="1:17" s="18" customFormat="1" hidden="1" x14ac:dyDescent="0.35">
      <c r="A111" s="80"/>
      <c r="B111" s="80"/>
      <c r="C111" s="238"/>
      <c r="D111" s="238"/>
      <c r="E111" s="80"/>
      <c r="F111" s="80"/>
      <c r="G111" s="80"/>
      <c r="H111" s="79"/>
      <c r="J111" s="78"/>
      <c r="K111" s="78"/>
      <c r="L111" s="78"/>
      <c r="M111" s="78"/>
      <c r="N111" s="78"/>
      <c r="O111" s="78"/>
      <c r="P111" s="78"/>
      <c r="Q111" s="78"/>
    </row>
    <row r="112" spans="1:17" s="18" customFormat="1" ht="16" thickBot="1" x14ac:dyDescent="0.4">
      <c r="A112" s="80"/>
      <c r="B112" s="80"/>
      <c r="C112" s="238"/>
      <c r="D112" s="238"/>
      <c r="E112" s="80"/>
      <c r="F112" s="80"/>
      <c r="G112" s="80"/>
      <c r="H112" s="79"/>
      <c r="J112" s="78"/>
      <c r="K112" s="78"/>
      <c r="L112" s="78"/>
      <c r="M112" s="78"/>
      <c r="N112" s="78"/>
      <c r="O112" s="78"/>
      <c r="P112" s="78"/>
      <c r="Q112" s="78"/>
    </row>
    <row r="113" spans="1:17" s="18" customFormat="1" ht="16.5" thickTop="1" thickBot="1" x14ac:dyDescent="0.4">
      <c r="A113" s="213"/>
      <c r="B113" s="125" t="s">
        <v>225</v>
      </c>
      <c r="C113" s="126" t="s">
        <v>24</v>
      </c>
      <c r="D113" s="132" t="s">
        <v>25</v>
      </c>
      <c r="E113" s="80"/>
      <c r="F113" s="80"/>
      <c r="G113" s="80"/>
      <c r="H113" s="79"/>
      <c r="J113" s="78"/>
      <c r="K113" s="78"/>
      <c r="L113" s="78"/>
      <c r="M113" s="78"/>
      <c r="N113" s="78"/>
      <c r="O113" s="78"/>
      <c r="P113" s="78"/>
      <c r="Q113" s="78"/>
    </row>
    <row r="114" spans="1:17" s="18" customFormat="1" ht="16" thickTop="1" x14ac:dyDescent="0.35">
      <c r="A114" s="133" t="s">
        <v>93</v>
      </c>
      <c r="B114" s="384"/>
      <c r="C114" s="238"/>
      <c r="D114" s="238"/>
      <c r="E114" s="80"/>
      <c r="F114" s="80"/>
      <c r="G114" s="80"/>
      <c r="H114" s="79"/>
      <c r="J114" s="78"/>
      <c r="K114" s="78"/>
      <c r="L114" s="78"/>
      <c r="M114" s="78"/>
      <c r="N114" s="78"/>
      <c r="O114" s="78"/>
      <c r="P114" s="78"/>
      <c r="Q114" s="78"/>
    </row>
    <row r="115" spans="1:17" s="18" customFormat="1" x14ac:dyDescent="0.35">
      <c r="A115" s="149" t="s">
        <v>113</v>
      </c>
      <c r="B115" s="386"/>
      <c r="C115" s="238"/>
      <c r="D115" s="238"/>
      <c r="E115" s="80"/>
      <c r="F115" s="80"/>
      <c r="G115" s="80"/>
      <c r="H115" s="79"/>
      <c r="J115" s="78"/>
      <c r="K115" s="78"/>
      <c r="L115" s="78"/>
      <c r="M115" s="78"/>
      <c r="N115" s="78"/>
      <c r="O115" s="78"/>
      <c r="P115" s="78"/>
      <c r="Q115" s="78"/>
    </row>
    <row r="116" spans="1:17" s="18" customFormat="1" x14ac:dyDescent="0.35">
      <c r="A116" s="128" t="s">
        <v>123</v>
      </c>
      <c r="B116" s="265" t="b">
        <v>0</v>
      </c>
      <c r="C116" s="238">
        <v>10</v>
      </c>
      <c r="D116" s="239">
        <f t="shared" ref="D116:D124" si="4">IF(B116,C116,0)</f>
        <v>0</v>
      </c>
      <c r="E116" s="80"/>
      <c r="F116" s="80"/>
      <c r="G116" s="80"/>
      <c r="H116" s="79"/>
      <c r="J116" s="78"/>
      <c r="K116" s="78"/>
      <c r="L116" s="78"/>
      <c r="M116" s="78"/>
      <c r="N116" s="78"/>
      <c r="O116" s="78"/>
      <c r="P116" s="78"/>
      <c r="Q116" s="78"/>
    </row>
    <row r="117" spans="1:17" s="18" customFormat="1" x14ac:dyDescent="0.35">
      <c r="A117" s="128" t="s">
        <v>122</v>
      </c>
      <c r="B117" s="265" t="b">
        <v>0</v>
      </c>
      <c r="C117" s="238">
        <v>7</v>
      </c>
      <c r="D117" s="239">
        <f t="shared" si="4"/>
        <v>0</v>
      </c>
      <c r="E117" s="80"/>
      <c r="F117" s="80"/>
      <c r="G117" s="80"/>
      <c r="H117" s="79"/>
      <c r="J117" s="78"/>
      <c r="K117" s="78"/>
      <c r="L117" s="78"/>
      <c r="M117" s="78"/>
      <c r="N117" s="78"/>
      <c r="O117" s="78"/>
      <c r="P117" s="78"/>
      <c r="Q117" s="78"/>
    </row>
    <row r="118" spans="1:17" s="18" customFormat="1" x14ac:dyDescent="0.35">
      <c r="A118" s="128" t="s">
        <v>119</v>
      </c>
      <c r="B118" s="265" t="b">
        <v>0</v>
      </c>
      <c r="C118" s="238">
        <v>8</v>
      </c>
      <c r="D118" s="239">
        <f t="shared" si="4"/>
        <v>0</v>
      </c>
      <c r="E118" s="80"/>
      <c r="F118" s="80"/>
      <c r="G118" s="80"/>
      <c r="H118" s="79"/>
      <c r="J118" s="78"/>
      <c r="K118" s="78"/>
      <c r="L118" s="78"/>
      <c r="M118" s="78"/>
      <c r="N118" s="78"/>
      <c r="O118" s="78"/>
      <c r="P118" s="78"/>
      <c r="Q118" s="78"/>
    </row>
    <row r="119" spans="1:17" s="18" customFormat="1" x14ac:dyDescent="0.35">
      <c r="A119" s="128" t="s">
        <v>118</v>
      </c>
      <c r="B119" s="265" t="b">
        <v>0</v>
      </c>
      <c r="C119" s="238">
        <v>6</v>
      </c>
      <c r="D119" s="239">
        <f t="shared" si="4"/>
        <v>0</v>
      </c>
      <c r="E119" s="80"/>
      <c r="F119" s="80"/>
      <c r="G119" s="80"/>
      <c r="H119" s="79"/>
      <c r="J119" s="78"/>
      <c r="K119" s="78"/>
      <c r="L119" s="78"/>
      <c r="M119" s="78"/>
      <c r="N119" s="78"/>
      <c r="O119" s="78"/>
      <c r="P119" s="78"/>
      <c r="Q119" s="78"/>
    </row>
    <row r="120" spans="1:17" s="18" customFormat="1" ht="17.149999999999999" customHeight="1" x14ac:dyDescent="0.35">
      <c r="A120" s="128" t="s">
        <v>118</v>
      </c>
      <c r="B120" s="265" t="b">
        <v>0</v>
      </c>
      <c r="C120" s="239">
        <v>6</v>
      </c>
      <c r="D120" s="239">
        <f t="shared" si="4"/>
        <v>0</v>
      </c>
      <c r="E120" s="120"/>
      <c r="F120" s="120"/>
      <c r="G120" s="120"/>
      <c r="H120" s="120"/>
      <c r="J120" s="78"/>
      <c r="K120" s="78"/>
      <c r="L120" s="78"/>
      <c r="M120" s="78"/>
      <c r="N120" s="78"/>
      <c r="O120" s="78"/>
      <c r="P120" s="78"/>
      <c r="Q120" s="78"/>
    </row>
    <row r="121" spans="1:17" s="18" customFormat="1" x14ac:dyDescent="0.35">
      <c r="A121" s="152" t="s">
        <v>114</v>
      </c>
      <c r="B121" s="326"/>
      <c r="C121" s="238"/>
      <c r="D121" s="239"/>
      <c r="E121" s="80"/>
      <c r="F121" s="80"/>
      <c r="G121" s="80"/>
      <c r="H121" s="79"/>
      <c r="J121" s="78"/>
      <c r="K121" s="78"/>
      <c r="L121" s="78"/>
      <c r="M121" s="78"/>
      <c r="N121" s="78"/>
      <c r="O121" s="78"/>
      <c r="P121" s="78"/>
      <c r="Q121" s="78"/>
    </row>
    <row r="122" spans="1:17" s="18" customFormat="1" x14ac:dyDescent="0.35">
      <c r="A122" s="128" t="s">
        <v>446</v>
      </c>
      <c r="B122" s="265" t="b">
        <v>0</v>
      </c>
      <c r="C122" s="238">
        <v>10</v>
      </c>
      <c r="D122" s="239">
        <f t="shared" si="4"/>
        <v>0</v>
      </c>
      <c r="E122" s="80"/>
      <c r="F122" s="80"/>
      <c r="G122" s="80"/>
      <c r="H122" s="79"/>
      <c r="J122" s="78"/>
      <c r="K122" s="78"/>
      <c r="L122" s="78"/>
      <c r="M122" s="78"/>
      <c r="N122" s="78"/>
      <c r="O122" s="78"/>
      <c r="P122" s="78"/>
      <c r="Q122" s="78"/>
    </row>
    <row r="123" spans="1:17" s="18" customFormat="1" x14ac:dyDescent="0.35">
      <c r="A123" s="128" t="s">
        <v>447</v>
      </c>
      <c r="B123" s="265" t="b">
        <v>0</v>
      </c>
      <c r="C123" s="238">
        <v>10</v>
      </c>
      <c r="D123" s="239">
        <f t="shared" si="4"/>
        <v>0</v>
      </c>
      <c r="E123" s="80"/>
      <c r="F123" s="80"/>
      <c r="G123" s="80"/>
      <c r="H123" s="79"/>
      <c r="J123" s="78"/>
      <c r="K123" s="78"/>
      <c r="L123" s="78"/>
      <c r="M123" s="78"/>
      <c r="N123" s="78"/>
      <c r="O123" s="78"/>
      <c r="P123" s="78"/>
      <c r="Q123" s="78"/>
    </row>
    <row r="124" spans="1:17" s="18" customFormat="1" x14ac:dyDescent="0.35">
      <c r="A124" s="128" t="s">
        <v>448</v>
      </c>
      <c r="B124" s="265" t="b">
        <v>0</v>
      </c>
      <c r="C124" s="238">
        <v>8</v>
      </c>
      <c r="D124" s="239">
        <f t="shared" si="4"/>
        <v>0</v>
      </c>
      <c r="E124" s="80"/>
      <c r="F124" s="80"/>
      <c r="G124" s="80"/>
      <c r="H124" s="79"/>
      <c r="J124" s="78"/>
      <c r="K124" s="78"/>
      <c r="L124" s="78"/>
      <c r="M124" s="78"/>
      <c r="N124" s="78"/>
      <c r="O124" s="78"/>
      <c r="P124" s="78"/>
      <c r="Q124" s="78"/>
    </row>
    <row r="125" spans="1:17" s="18" customFormat="1" x14ac:dyDescent="0.35">
      <c r="A125" s="128" t="s">
        <v>449</v>
      </c>
      <c r="B125" s="265" t="s">
        <v>479</v>
      </c>
      <c r="C125" s="238">
        <v>0</v>
      </c>
      <c r="D125" s="239">
        <v>0</v>
      </c>
      <c r="E125" s="80"/>
      <c r="F125" s="80"/>
      <c r="G125" s="80"/>
      <c r="H125" s="79"/>
      <c r="J125" s="78"/>
      <c r="K125" s="78"/>
      <c r="L125" s="78"/>
      <c r="M125" s="78"/>
      <c r="N125" s="78"/>
      <c r="O125" s="78"/>
      <c r="P125" s="78"/>
      <c r="Q125" s="78"/>
    </row>
    <row r="126" spans="1:17" s="18" customFormat="1" x14ac:dyDescent="0.35">
      <c r="A126" s="128" t="s">
        <v>110</v>
      </c>
      <c r="B126" s="265" t="s">
        <v>479</v>
      </c>
      <c r="C126" s="238">
        <v>0</v>
      </c>
      <c r="D126" s="239">
        <v>0</v>
      </c>
      <c r="E126" s="80"/>
      <c r="F126" s="80"/>
      <c r="G126" s="80"/>
      <c r="H126" s="79"/>
      <c r="J126" s="78"/>
      <c r="K126" s="78"/>
      <c r="L126" s="78"/>
      <c r="M126" s="78"/>
      <c r="N126" s="78"/>
      <c r="O126" s="78"/>
      <c r="P126" s="78"/>
      <c r="Q126" s="78"/>
    </row>
    <row r="127" spans="1:17" s="18" customFormat="1" x14ac:dyDescent="0.35">
      <c r="A127" s="128" t="s">
        <v>111</v>
      </c>
      <c r="B127" s="265" t="s">
        <v>479</v>
      </c>
      <c r="C127" s="238">
        <v>0</v>
      </c>
      <c r="D127" s="239">
        <v>0</v>
      </c>
      <c r="E127" s="80"/>
      <c r="F127" s="80"/>
      <c r="G127" s="80"/>
      <c r="H127" s="79"/>
      <c r="J127" s="78"/>
      <c r="K127" s="78"/>
      <c r="L127" s="78"/>
      <c r="M127" s="78"/>
      <c r="N127" s="78"/>
      <c r="O127" s="78"/>
      <c r="P127" s="78"/>
      <c r="Q127" s="78"/>
    </row>
    <row r="128" spans="1:17" s="18" customFormat="1" ht="16" thickBot="1" x14ac:dyDescent="0.4">
      <c r="A128" s="129" t="s">
        <v>450</v>
      </c>
      <c r="B128" s="338" t="s">
        <v>479</v>
      </c>
      <c r="C128" s="238">
        <v>0</v>
      </c>
      <c r="D128" s="239">
        <v>0</v>
      </c>
      <c r="E128" s="80"/>
      <c r="F128" s="80"/>
      <c r="G128" s="80"/>
      <c r="H128" s="79"/>
      <c r="J128" s="78"/>
      <c r="K128" s="78"/>
      <c r="L128" s="78"/>
      <c r="M128" s="78"/>
      <c r="N128" s="78"/>
      <c r="O128" s="78"/>
      <c r="P128" s="78"/>
      <c r="Q128" s="78"/>
    </row>
    <row r="129" spans="1:17" s="18" customFormat="1" ht="16.5" thickTop="1" thickBot="1" x14ac:dyDescent="0.4">
      <c r="A129" s="124"/>
      <c r="B129" s="1"/>
      <c r="C129" s="238"/>
      <c r="D129" s="238"/>
      <c r="E129" s="80"/>
      <c r="F129" s="80"/>
      <c r="G129" s="80"/>
      <c r="H129" s="79"/>
      <c r="J129" s="78"/>
      <c r="K129" s="78"/>
      <c r="L129" s="78"/>
      <c r="M129" s="78"/>
      <c r="N129" s="78"/>
      <c r="O129" s="78"/>
      <c r="P129" s="78"/>
      <c r="Q129" s="78"/>
    </row>
    <row r="130" spans="1:17" s="18" customFormat="1" ht="16" thickBot="1" x14ac:dyDescent="0.4">
      <c r="A130" s="134" t="s">
        <v>27</v>
      </c>
      <c r="B130" s="135">
        <f>IFERROR(D130/C130,0)</f>
        <v>0</v>
      </c>
      <c r="C130" s="238">
        <f>SUM(C116:C128)</f>
        <v>65</v>
      </c>
      <c r="D130" s="238">
        <f>SUM(D116:D128)</f>
        <v>0</v>
      </c>
      <c r="E130" s="80"/>
      <c r="F130" s="80"/>
      <c r="G130" s="80"/>
      <c r="H130" s="79"/>
      <c r="J130" s="78"/>
      <c r="K130" s="78"/>
      <c r="L130" s="78"/>
      <c r="M130" s="78"/>
      <c r="N130" s="78"/>
      <c r="O130" s="78"/>
      <c r="P130" s="78"/>
      <c r="Q130" s="78"/>
    </row>
    <row r="131" spans="1:17" s="18" customFormat="1" ht="16" hidden="1" thickBot="1" x14ac:dyDescent="0.4">
      <c r="A131" s="153"/>
      <c r="B131" s="154"/>
      <c r="C131" s="238"/>
      <c r="D131" s="238"/>
      <c r="E131" s="80"/>
      <c r="F131" s="80"/>
      <c r="G131" s="80"/>
      <c r="H131" s="79"/>
      <c r="J131" s="78"/>
      <c r="K131" s="78"/>
      <c r="L131" s="78"/>
      <c r="M131" s="78"/>
      <c r="N131" s="78"/>
      <c r="O131" s="78"/>
      <c r="P131" s="78"/>
      <c r="Q131" s="78"/>
    </row>
    <row r="132" spans="1:17" s="18" customFormat="1" ht="16.5" hidden="1" thickTop="1" thickBot="1" x14ac:dyDescent="0.4">
      <c r="A132" s="213"/>
      <c r="B132" s="125" t="s">
        <v>225</v>
      </c>
      <c r="C132" s="126"/>
      <c r="D132" s="132" t="s">
        <v>25</v>
      </c>
      <c r="E132" s="80"/>
      <c r="F132" s="80"/>
      <c r="G132" s="80"/>
      <c r="H132" s="79"/>
      <c r="J132" s="78"/>
      <c r="K132" s="78"/>
      <c r="L132" s="78"/>
      <c r="M132" s="78"/>
      <c r="N132" s="78"/>
      <c r="O132" s="78"/>
      <c r="P132" s="78"/>
      <c r="Q132" s="78"/>
    </row>
    <row r="133" spans="1:17" s="18" customFormat="1" ht="16" hidden="1" thickTop="1" x14ac:dyDescent="0.35">
      <c r="A133" s="133" t="s">
        <v>85</v>
      </c>
      <c r="B133" s="384"/>
      <c r="C133" s="238"/>
      <c r="D133" s="238"/>
      <c r="E133" s="80"/>
      <c r="F133" s="80"/>
      <c r="G133" s="80"/>
      <c r="H133" s="79"/>
      <c r="J133" s="78"/>
      <c r="K133" s="78"/>
      <c r="L133" s="78"/>
      <c r="M133" s="78"/>
      <c r="N133" s="78"/>
      <c r="O133" s="78"/>
      <c r="P133" s="78"/>
      <c r="Q133" s="78"/>
    </row>
    <row r="134" spans="1:17" s="18" customFormat="1" ht="17.149999999999999" hidden="1" customHeight="1" x14ac:dyDescent="0.35">
      <c r="A134" s="128" t="s">
        <v>446</v>
      </c>
      <c r="B134" s="265" t="b">
        <v>0</v>
      </c>
      <c r="C134" s="241"/>
      <c r="D134" s="239">
        <f t="shared" ref="D134:D142" si="5">IF(B134,C134,0)</f>
        <v>0</v>
      </c>
      <c r="E134" s="121"/>
      <c r="F134" s="121"/>
      <c r="G134" s="121"/>
      <c r="H134" s="121"/>
      <c r="J134" s="78"/>
      <c r="K134" s="78"/>
      <c r="L134" s="78"/>
      <c r="M134" s="78"/>
      <c r="N134" s="78"/>
      <c r="O134" s="78"/>
      <c r="P134" s="78"/>
      <c r="Q134" s="78"/>
    </row>
    <row r="135" spans="1:17" s="18" customFormat="1" hidden="1" x14ac:dyDescent="0.35">
      <c r="A135" s="127" t="s">
        <v>451</v>
      </c>
      <c r="B135" s="265" t="b">
        <v>0</v>
      </c>
      <c r="C135" s="238"/>
      <c r="D135" s="239">
        <f t="shared" si="5"/>
        <v>0</v>
      </c>
      <c r="E135" s="80"/>
      <c r="F135" s="80"/>
      <c r="G135" s="80"/>
      <c r="H135" s="79"/>
      <c r="J135" s="78"/>
      <c r="K135" s="78"/>
      <c r="L135" s="78"/>
      <c r="M135" s="78"/>
      <c r="N135" s="78"/>
      <c r="O135" s="78"/>
      <c r="P135" s="78"/>
      <c r="Q135" s="78"/>
    </row>
    <row r="136" spans="1:17" s="18" customFormat="1" hidden="1" x14ac:dyDescent="0.35">
      <c r="A136" s="128" t="s">
        <v>448</v>
      </c>
      <c r="B136" s="265" t="b">
        <v>0</v>
      </c>
      <c r="C136" s="238"/>
      <c r="D136" s="239">
        <f t="shared" si="5"/>
        <v>0</v>
      </c>
      <c r="E136" s="80"/>
      <c r="F136" s="80"/>
      <c r="G136" s="80"/>
      <c r="H136" s="79"/>
      <c r="J136" s="78"/>
      <c r="K136" s="78"/>
      <c r="L136" s="78"/>
      <c r="M136" s="78"/>
      <c r="N136" s="78"/>
      <c r="O136" s="78"/>
      <c r="P136" s="78"/>
      <c r="Q136" s="78"/>
    </row>
    <row r="137" spans="1:17" s="18" customFormat="1" hidden="1" x14ac:dyDescent="0.35">
      <c r="A137" s="128" t="s">
        <v>449</v>
      </c>
      <c r="B137" s="265" t="b">
        <v>0</v>
      </c>
      <c r="C137" s="238"/>
      <c r="D137" s="239">
        <f t="shared" si="5"/>
        <v>0</v>
      </c>
      <c r="E137" s="80"/>
      <c r="F137" s="80"/>
      <c r="G137" s="80"/>
      <c r="H137" s="79"/>
      <c r="J137" s="78"/>
      <c r="K137" s="78"/>
      <c r="L137" s="78"/>
      <c r="M137" s="78"/>
      <c r="N137" s="78"/>
      <c r="O137" s="78"/>
      <c r="P137" s="78"/>
      <c r="Q137" s="78"/>
    </row>
    <row r="138" spans="1:17" s="18" customFormat="1" ht="17.149999999999999" hidden="1" customHeight="1" x14ac:dyDescent="0.35">
      <c r="A138" s="128" t="s">
        <v>111</v>
      </c>
      <c r="B138" s="265" t="b">
        <v>0</v>
      </c>
      <c r="C138" s="239"/>
      <c r="D138" s="239">
        <f t="shared" si="5"/>
        <v>0</v>
      </c>
      <c r="E138" s="120"/>
      <c r="F138" s="120"/>
      <c r="G138" s="120"/>
      <c r="H138" s="120"/>
      <c r="J138" s="78"/>
      <c r="K138" s="78"/>
      <c r="L138" s="78"/>
      <c r="M138" s="78"/>
      <c r="N138" s="78"/>
      <c r="O138" s="78"/>
      <c r="P138" s="78"/>
      <c r="Q138" s="78"/>
    </row>
    <row r="139" spans="1:17" s="18" customFormat="1" ht="17.149999999999999" hidden="1" customHeight="1" x14ac:dyDescent="0.35">
      <c r="A139" s="128" t="s">
        <v>450</v>
      </c>
      <c r="B139" s="265" t="b">
        <v>0</v>
      </c>
      <c r="C139" s="239"/>
      <c r="D139" s="239">
        <f t="shared" si="5"/>
        <v>0</v>
      </c>
      <c r="E139" s="120"/>
      <c r="F139" s="120"/>
      <c r="G139" s="120"/>
      <c r="H139" s="120"/>
      <c r="J139" s="78"/>
      <c r="K139" s="78"/>
      <c r="L139" s="78"/>
      <c r="M139" s="78"/>
      <c r="N139" s="78"/>
      <c r="O139" s="78"/>
      <c r="P139" s="78"/>
      <c r="Q139" s="78"/>
    </row>
    <row r="140" spans="1:17" s="18" customFormat="1" hidden="1" x14ac:dyDescent="0.35">
      <c r="A140" s="128" t="s">
        <v>124</v>
      </c>
      <c r="B140" s="265" t="b">
        <v>0</v>
      </c>
      <c r="C140" s="238"/>
      <c r="D140" s="239">
        <f t="shared" si="5"/>
        <v>0</v>
      </c>
      <c r="E140" s="80"/>
      <c r="F140" s="80"/>
      <c r="G140" s="80"/>
      <c r="H140" s="79"/>
      <c r="J140" s="78"/>
      <c r="K140" s="78"/>
      <c r="L140" s="78"/>
      <c r="M140" s="78"/>
      <c r="N140" s="78"/>
      <c r="O140" s="78"/>
      <c r="P140" s="78"/>
      <c r="Q140" s="78"/>
    </row>
    <row r="141" spans="1:17" s="18" customFormat="1" hidden="1" x14ac:dyDescent="0.35">
      <c r="A141" s="128" t="s">
        <v>76</v>
      </c>
      <c r="B141" s="265" t="b">
        <v>0</v>
      </c>
      <c r="C141" s="238"/>
      <c r="D141" s="239">
        <f t="shared" si="5"/>
        <v>0</v>
      </c>
      <c r="E141" s="80"/>
      <c r="F141" s="80"/>
      <c r="G141" s="80"/>
      <c r="H141" s="79"/>
      <c r="J141" s="78"/>
      <c r="K141" s="78"/>
      <c r="L141" s="78"/>
      <c r="M141" s="78"/>
      <c r="N141" s="78"/>
      <c r="O141" s="78"/>
      <c r="P141" s="78"/>
      <c r="Q141" s="78"/>
    </row>
    <row r="142" spans="1:17" s="18" customFormat="1" ht="16" hidden="1" thickBot="1" x14ac:dyDescent="0.4">
      <c r="A142" s="129" t="s">
        <v>76</v>
      </c>
      <c r="B142" s="281" t="b">
        <v>0</v>
      </c>
      <c r="C142" s="238"/>
      <c r="D142" s="239">
        <f t="shared" si="5"/>
        <v>0</v>
      </c>
      <c r="E142" s="80"/>
      <c r="F142" s="80"/>
      <c r="G142" s="80"/>
      <c r="H142" s="79"/>
      <c r="J142" s="78"/>
      <c r="K142" s="78"/>
      <c r="L142" s="78"/>
      <c r="M142" s="78"/>
      <c r="N142" s="78"/>
      <c r="O142" s="78"/>
      <c r="P142" s="78"/>
      <c r="Q142" s="78"/>
    </row>
    <row r="143" spans="1:17" s="18" customFormat="1" ht="16.5" hidden="1" thickTop="1" thickBot="1" x14ac:dyDescent="0.4">
      <c r="A143" s="80"/>
      <c r="B143" s="80"/>
      <c r="C143" s="238"/>
      <c r="D143" s="238"/>
      <c r="E143" s="80"/>
      <c r="F143" s="80"/>
      <c r="G143" s="80"/>
      <c r="H143" s="79"/>
      <c r="J143" s="78"/>
      <c r="K143" s="78"/>
      <c r="L143" s="78"/>
      <c r="M143" s="78"/>
      <c r="N143" s="78"/>
      <c r="O143" s="78"/>
      <c r="P143" s="78"/>
      <c r="Q143" s="78"/>
    </row>
    <row r="144" spans="1:17" s="18" customFormat="1" ht="16" hidden="1" thickBot="1" x14ac:dyDescent="0.4">
      <c r="A144" s="134" t="s">
        <v>27</v>
      </c>
      <c r="B144" s="135">
        <f>IFERROR(D144/C144,0)</f>
        <v>0</v>
      </c>
      <c r="C144" s="238"/>
      <c r="D144" s="238">
        <f>SUM(D134:D142)</f>
        <v>0</v>
      </c>
      <c r="E144" s="80"/>
      <c r="F144" s="80"/>
      <c r="G144" s="80"/>
      <c r="H144" s="79"/>
      <c r="J144" s="78"/>
      <c r="K144" s="78"/>
      <c r="L144" s="78"/>
      <c r="M144" s="78"/>
      <c r="N144" s="78"/>
      <c r="O144" s="78"/>
      <c r="P144" s="78"/>
      <c r="Q144" s="78"/>
    </row>
    <row r="145" spans="1:17" s="18" customFormat="1" ht="16" hidden="1" thickBot="1" x14ac:dyDescent="0.4">
      <c r="A145" s="80"/>
      <c r="B145" s="80"/>
      <c r="C145" s="238"/>
      <c r="D145" s="238"/>
      <c r="E145" s="80"/>
      <c r="F145" s="80"/>
      <c r="G145" s="80"/>
      <c r="H145" s="79"/>
      <c r="J145" s="78"/>
      <c r="K145" s="78"/>
      <c r="L145" s="78"/>
      <c r="M145" s="78"/>
      <c r="N145" s="78"/>
      <c r="O145" s="78"/>
      <c r="P145" s="78"/>
      <c r="Q145" s="78"/>
    </row>
    <row r="146" spans="1:17" s="18" customFormat="1" ht="16.5" hidden="1" thickTop="1" thickBot="1" x14ac:dyDescent="0.4">
      <c r="A146" s="213"/>
      <c r="B146" s="125" t="s">
        <v>225</v>
      </c>
      <c r="C146" s="126"/>
      <c r="D146" s="132" t="s">
        <v>25</v>
      </c>
      <c r="E146" s="80"/>
      <c r="F146" s="80"/>
      <c r="G146" s="80"/>
      <c r="H146" s="79"/>
      <c r="J146" s="78"/>
      <c r="K146" s="78"/>
      <c r="L146" s="78"/>
      <c r="M146" s="78"/>
      <c r="N146" s="78"/>
      <c r="O146" s="78"/>
      <c r="P146" s="78"/>
      <c r="Q146" s="78"/>
    </row>
    <row r="147" spans="1:17" s="18" customFormat="1" ht="16" hidden="1" thickTop="1" x14ac:dyDescent="0.35">
      <c r="A147" s="133" t="s">
        <v>86</v>
      </c>
      <c r="B147" s="384"/>
      <c r="C147" s="238"/>
      <c r="D147" s="238"/>
      <c r="E147" s="80"/>
      <c r="F147" s="80"/>
      <c r="G147" s="80"/>
      <c r="H147" s="79"/>
      <c r="J147" s="78"/>
      <c r="K147" s="78"/>
      <c r="L147" s="78"/>
      <c r="M147" s="78"/>
      <c r="N147" s="78"/>
      <c r="O147" s="78"/>
      <c r="P147" s="78"/>
      <c r="Q147" s="78"/>
    </row>
    <row r="148" spans="1:17" s="18" customFormat="1" hidden="1" x14ac:dyDescent="0.35">
      <c r="A148" s="128" t="s">
        <v>446</v>
      </c>
      <c r="B148" s="265" t="b">
        <v>0</v>
      </c>
      <c r="C148" s="238"/>
      <c r="D148" s="239">
        <f t="shared" ref="D148:D154" si="6">IF(B148,C148,0)</f>
        <v>0</v>
      </c>
      <c r="E148" s="80"/>
      <c r="F148" s="80"/>
      <c r="G148" s="80"/>
      <c r="H148" s="79"/>
      <c r="J148" s="78"/>
      <c r="K148" s="78"/>
      <c r="L148" s="78"/>
      <c r="M148" s="78"/>
      <c r="N148" s="78"/>
      <c r="O148" s="78"/>
      <c r="P148" s="78"/>
      <c r="Q148" s="78"/>
    </row>
    <row r="149" spans="1:17" s="18" customFormat="1" hidden="1" x14ac:dyDescent="0.35">
      <c r="A149" s="127" t="s">
        <v>451</v>
      </c>
      <c r="B149" s="265" t="b">
        <v>0</v>
      </c>
      <c r="C149" s="238"/>
      <c r="D149" s="239">
        <f t="shared" si="6"/>
        <v>0</v>
      </c>
      <c r="E149" s="80"/>
      <c r="F149" s="80"/>
      <c r="G149" s="80"/>
      <c r="H149" s="79"/>
      <c r="J149" s="78"/>
      <c r="K149" s="78"/>
      <c r="L149" s="78"/>
      <c r="M149" s="78"/>
      <c r="N149" s="78"/>
      <c r="O149" s="78"/>
      <c r="P149" s="78"/>
      <c r="Q149" s="78"/>
    </row>
    <row r="150" spans="1:17" s="18" customFormat="1" hidden="1" x14ac:dyDescent="0.35">
      <c r="A150" s="127" t="s">
        <v>448</v>
      </c>
      <c r="B150" s="265" t="b">
        <v>0</v>
      </c>
      <c r="C150" s="238"/>
      <c r="D150" s="239">
        <f t="shared" si="6"/>
        <v>0</v>
      </c>
      <c r="E150" s="80"/>
      <c r="F150" s="80"/>
      <c r="G150" s="80"/>
      <c r="H150" s="79"/>
      <c r="J150" s="78"/>
      <c r="K150" s="78"/>
      <c r="L150" s="78"/>
      <c r="M150" s="78"/>
      <c r="N150" s="78"/>
      <c r="O150" s="78"/>
      <c r="P150" s="78"/>
      <c r="Q150" s="78"/>
    </row>
    <row r="151" spans="1:17" s="18" customFormat="1" hidden="1" x14ac:dyDescent="0.35">
      <c r="A151" s="128" t="s">
        <v>449</v>
      </c>
      <c r="B151" s="265" t="b">
        <v>0</v>
      </c>
      <c r="C151" s="238"/>
      <c r="D151" s="239">
        <f t="shared" si="6"/>
        <v>0</v>
      </c>
      <c r="E151" s="80"/>
      <c r="F151" s="80"/>
      <c r="G151" s="80"/>
      <c r="H151" s="79"/>
      <c r="J151" s="78"/>
      <c r="K151" s="78"/>
      <c r="L151" s="78"/>
      <c r="M151" s="78"/>
      <c r="N151" s="78"/>
      <c r="O151" s="78"/>
      <c r="P151" s="78"/>
      <c r="Q151" s="78"/>
    </row>
    <row r="152" spans="1:17" s="18" customFormat="1" hidden="1" x14ac:dyDescent="0.35">
      <c r="A152" s="128" t="s">
        <v>111</v>
      </c>
      <c r="B152" s="265" t="b">
        <v>0</v>
      </c>
      <c r="C152" s="238"/>
      <c r="D152" s="239">
        <f t="shared" si="6"/>
        <v>0</v>
      </c>
      <c r="E152" s="80"/>
      <c r="F152" s="80"/>
      <c r="G152" s="80"/>
      <c r="H152" s="79"/>
      <c r="J152" s="78"/>
      <c r="K152" s="78"/>
      <c r="L152" s="78"/>
      <c r="M152" s="78"/>
      <c r="N152" s="78"/>
      <c r="O152" s="78"/>
      <c r="P152" s="78"/>
      <c r="Q152" s="78"/>
    </row>
    <row r="153" spans="1:17" s="18" customFormat="1" ht="17.149999999999999" hidden="1" customHeight="1" x14ac:dyDescent="0.35">
      <c r="A153" s="128" t="s">
        <v>450</v>
      </c>
      <c r="B153" s="265" t="b">
        <v>0</v>
      </c>
      <c r="C153" s="239"/>
      <c r="D153" s="239">
        <f t="shared" si="6"/>
        <v>0</v>
      </c>
      <c r="E153" s="120"/>
      <c r="F153" s="120"/>
      <c r="G153" s="120"/>
      <c r="H153" s="120"/>
      <c r="J153" s="78"/>
      <c r="K153" s="78"/>
      <c r="L153" s="78"/>
      <c r="M153" s="78"/>
      <c r="N153" s="78"/>
      <c r="O153" s="78"/>
      <c r="P153" s="78"/>
      <c r="Q153" s="78"/>
    </row>
    <row r="154" spans="1:17" s="18" customFormat="1" ht="16" hidden="1" thickBot="1" x14ac:dyDescent="0.4">
      <c r="A154" s="129" t="s">
        <v>124</v>
      </c>
      <c r="B154" s="281" t="b">
        <v>0</v>
      </c>
      <c r="C154" s="238"/>
      <c r="D154" s="239">
        <f t="shared" si="6"/>
        <v>0</v>
      </c>
      <c r="E154" s="80"/>
      <c r="F154" s="80"/>
      <c r="G154" s="80"/>
      <c r="H154" s="79"/>
      <c r="J154" s="78"/>
      <c r="K154" s="78"/>
      <c r="L154" s="78"/>
      <c r="M154" s="78"/>
      <c r="N154" s="78"/>
      <c r="O154" s="78"/>
      <c r="P154" s="78"/>
      <c r="Q154" s="78"/>
    </row>
    <row r="155" spans="1:17" s="18" customFormat="1" ht="16.5" hidden="1" thickTop="1" thickBot="1" x14ac:dyDescent="0.4">
      <c r="A155" s="124"/>
      <c r="B155" s="1"/>
      <c r="C155" s="238"/>
      <c r="D155" s="238"/>
      <c r="E155" s="80"/>
      <c r="F155" s="80"/>
      <c r="G155" s="80"/>
      <c r="H155" s="79"/>
      <c r="J155" s="78"/>
      <c r="K155" s="78"/>
      <c r="L155" s="78"/>
      <c r="M155" s="78"/>
      <c r="N155" s="78"/>
      <c r="O155" s="78"/>
      <c r="P155" s="78"/>
      <c r="Q155" s="78"/>
    </row>
    <row r="156" spans="1:17" s="18" customFormat="1" ht="16" hidden="1" thickBot="1" x14ac:dyDescent="0.4">
      <c r="A156" s="134" t="s">
        <v>27</v>
      </c>
      <c r="B156" s="135">
        <f>IFERROR(D156/C156,0)</f>
        <v>0</v>
      </c>
      <c r="C156" s="238"/>
      <c r="D156" s="238">
        <f>SUM(D148:D154)</f>
        <v>0</v>
      </c>
      <c r="E156" s="80"/>
      <c r="F156" s="80"/>
      <c r="G156" s="80"/>
      <c r="H156" s="79"/>
      <c r="J156" s="78"/>
      <c r="K156" s="78"/>
      <c r="L156" s="78"/>
      <c r="M156" s="78"/>
      <c r="N156" s="78"/>
      <c r="O156" s="78"/>
      <c r="P156" s="78"/>
      <c r="Q156" s="78"/>
    </row>
    <row r="157" spans="1:17" s="18" customFormat="1" hidden="1" x14ac:dyDescent="0.35">
      <c r="A157" s="80"/>
      <c r="B157" s="80"/>
      <c r="C157" s="238"/>
      <c r="D157" s="238"/>
      <c r="E157" s="80"/>
      <c r="F157" s="80"/>
      <c r="G157" s="80"/>
      <c r="H157" s="79"/>
      <c r="J157" s="78"/>
      <c r="K157" s="78"/>
      <c r="L157" s="78"/>
      <c r="M157" s="78"/>
      <c r="N157" s="78"/>
      <c r="O157" s="78"/>
      <c r="P157" s="78"/>
      <c r="Q157" s="78"/>
    </row>
    <row r="158" spans="1:17" s="18" customFormat="1" ht="16" hidden="1" thickBot="1" x14ac:dyDescent="0.4">
      <c r="A158" s="80"/>
      <c r="B158" s="80"/>
      <c r="C158" s="238"/>
      <c r="D158" s="238"/>
      <c r="E158" s="80"/>
      <c r="F158" s="80"/>
      <c r="G158" s="80"/>
      <c r="H158" s="79"/>
      <c r="J158" s="78"/>
      <c r="K158" s="78"/>
      <c r="L158" s="78"/>
      <c r="M158" s="78"/>
      <c r="N158" s="78"/>
      <c r="O158" s="78"/>
      <c r="P158" s="78"/>
      <c r="Q158" s="78"/>
    </row>
    <row r="159" spans="1:17" s="18" customFormat="1" ht="16.5" hidden="1" thickTop="1" thickBot="1" x14ac:dyDescent="0.4">
      <c r="A159" s="213"/>
      <c r="B159" s="125" t="s">
        <v>225</v>
      </c>
      <c r="C159" s="126"/>
      <c r="D159" s="132" t="s">
        <v>25</v>
      </c>
      <c r="E159" s="80"/>
      <c r="F159" s="80"/>
      <c r="G159" s="80"/>
      <c r="H159" s="79"/>
      <c r="J159" s="78"/>
      <c r="K159" s="78"/>
      <c r="L159" s="78"/>
      <c r="M159" s="78"/>
      <c r="N159" s="78"/>
      <c r="O159" s="78"/>
      <c r="P159" s="78"/>
      <c r="Q159" s="78"/>
    </row>
    <row r="160" spans="1:17" s="18" customFormat="1" ht="16" hidden="1" thickTop="1" x14ac:dyDescent="0.35">
      <c r="A160" s="133" t="s">
        <v>87</v>
      </c>
      <c r="B160" s="285"/>
      <c r="C160" s="238"/>
      <c r="D160" s="238"/>
      <c r="E160" s="80"/>
      <c r="F160" s="80"/>
      <c r="G160" s="80"/>
      <c r="H160" s="79"/>
      <c r="J160" s="78"/>
      <c r="K160" s="78"/>
      <c r="L160" s="78"/>
      <c r="M160" s="78"/>
      <c r="N160" s="78"/>
      <c r="O160" s="78"/>
      <c r="P160" s="78"/>
      <c r="Q160" s="78"/>
    </row>
    <row r="161" spans="1:17" s="18" customFormat="1" hidden="1" x14ac:dyDescent="0.35">
      <c r="A161" s="128" t="s">
        <v>446</v>
      </c>
      <c r="B161" s="265" t="b">
        <v>0</v>
      </c>
      <c r="C161" s="238"/>
      <c r="D161" s="239">
        <f t="shared" ref="D161:D167" si="7">IF(B161,C161,0)</f>
        <v>0</v>
      </c>
      <c r="E161" s="80"/>
      <c r="F161" s="80"/>
      <c r="G161" s="80"/>
      <c r="H161" s="79"/>
      <c r="J161" s="78"/>
      <c r="K161" s="78"/>
      <c r="L161" s="78"/>
      <c r="M161" s="78"/>
      <c r="N161" s="78"/>
      <c r="O161" s="78"/>
      <c r="P161" s="78"/>
      <c r="Q161" s="78"/>
    </row>
    <row r="162" spans="1:17" s="18" customFormat="1" hidden="1" x14ac:dyDescent="0.35">
      <c r="A162" s="127" t="s">
        <v>451</v>
      </c>
      <c r="B162" s="265" t="b">
        <v>0</v>
      </c>
      <c r="C162" s="238"/>
      <c r="D162" s="239">
        <f t="shared" si="7"/>
        <v>0</v>
      </c>
      <c r="E162" s="80"/>
      <c r="F162" s="80"/>
      <c r="G162" s="80"/>
      <c r="H162" s="79"/>
      <c r="J162" s="78"/>
      <c r="K162" s="78"/>
      <c r="L162" s="78"/>
      <c r="M162" s="78"/>
      <c r="N162" s="78"/>
      <c r="O162" s="78"/>
      <c r="P162" s="78"/>
      <c r="Q162" s="78"/>
    </row>
    <row r="163" spans="1:17" s="18" customFormat="1" hidden="1" x14ac:dyDescent="0.35">
      <c r="A163" s="127" t="s">
        <v>448</v>
      </c>
      <c r="B163" s="265" t="b">
        <v>0</v>
      </c>
      <c r="C163" s="238"/>
      <c r="D163" s="239">
        <f t="shared" si="7"/>
        <v>0</v>
      </c>
      <c r="E163" s="80"/>
      <c r="F163" s="80"/>
      <c r="G163" s="80"/>
      <c r="H163" s="79"/>
      <c r="J163" s="78"/>
      <c r="K163" s="78"/>
      <c r="L163" s="78"/>
      <c r="M163" s="78"/>
      <c r="N163" s="78"/>
      <c r="O163" s="78"/>
      <c r="P163" s="78"/>
      <c r="Q163" s="78"/>
    </row>
    <row r="164" spans="1:17" s="18" customFormat="1" hidden="1" x14ac:dyDescent="0.35">
      <c r="A164" s="128" t="s">
        <v>449</v>
      </c>
      <c r="B164" s="265" t="b">
        <v>0</v>
      </c>
      <c r="C164" s="238"/>
      <c r="D164" s="239">
        <f t="shared" si="7"/>
        <v>0</v>
      </c>
      <c r="E164" s="80"/>
      <c r="F164" s="80"/>
      <c r="G164" s="80"/>
      <c r="H164" s="79"/>
      <c r="J164" s="78"/>
      <c r="K164" s="78"/>
      <c r="L164" s="78"/>
      <c r="M164" s="78"/>
      <c r="N164" s="78"/>
      <c r="O164" s="78"/>
      <c r="P164" s="78"/>
      <c r="Q164" s="78"/>
    </row>
    <row r="165" spans="1:17" s="18" customFormat="1" hidden="1" x14ac:dyDescent="0.35">
      <c r="A165" s="128" t="s">
        <v>111</v>
      </c>
      <c r="B165" s="265" t="b">
        <v>0</v>
      </c>
      <c r="C165" s="238"/>
      <c r="D165" s="239">
        <f t="shared" si="7"/>
        <v>0</v>
      </c>
      <c r="E165" s="80"/>
      <c r="F165" s="80"/>
      <c r="G165" s="80"/>
      <c r="H165" s="79"/>
      <c r="J165" s="78"/>
      <c r="K165" s="78"/>
      <c r="L165" s="78"/>
      <c r="M165" s="78"/>
      <c r="N165" s="78"/>
      <c r="O165" s="78"/>
      <c r="P165" s="78"/>
      <c r="Q165" s="78"/>
    </row>
    <row r="166" spans="1:17" s="18" customFormat="1" hidden="1" x14ac:dyDescent="0.35">
      <c r="A166" s="128" t="s">
        <v>450</v>
      </c>
      <c r="B166" s="265" t="b">
        <v>0</v>
      </c>
      <c r="C166" s="238"/>
      <c r="D166" s="239">
        <f t="shared" si="7"/>
        <v>0</v>
      </c>
      <c r="E166" s="80"/>
      <c r="F166" s="80"/>
      <c r="G166" s="80"/>
      <c r="H166" s="79"/>
      <c r="J166" s="78"/>
      <c r="K166" s="78"/>
      <c r="L166" s="78"/>
      <c r="M166" s="78"/>
      <c r="N166" s="78"/>
      <c r="O166" s="78"/>
      <c r="P166" s="78"/>
      <c r="Q166" s="78"/>
    </row>
    <row r="167" spans="1:17" s="18" customFormat="1" ht="16" hidden="1" thickBot="1" x14ac:dyDescent="0.4">
      <c r="A167" s="129" t="s">
        <v>124</v>
      </c>
      <c r="B167" s="281" t="b">
        <v>0</v>
      </c>
      <c r="C167" s="238"/>
      <c r="D167" s="239">
        <f t="shared" si="7"/>
        <v>0</v>
      </c>
      <c r="E167" s="80"/>
      <c r="F167" s="80"/>
      <c r="G167" s="80"/>
      <c r="H167" s="79"/>
      <c r="J167" s="78"/>
      <c r="K167" s="78"/>
      <c r="L167" s="78"/>
      <c r="M167" s="78"/>
      <c r="N167" s="78"/>
      <c r="O167" s="78"/>
      <c r="P167" s="78"/>
      <c r="Q167" s="78"/>
    </row>
    <row r="168" spans="1:17" s="18" customFormat="1" ht="16.5" hidden="1" thickTop="1" thickBot="1" x14ac:dyDescent="0.4">
      <c r="A168" s="124"/>
      <c r="B168" s="1"/>
      <c r="C168" s="238"/>
      <c r="D168" s="238"/>
      <c r="E168" s="80"/>
      <c r="F168" s="80"/>
      <c r="G168" s="80"/>
      <c r="H168" s="79"/>
      <c r="J168" s="78"/>
      <c r="K168" s="78"/>
      <c r="L168" s="78"/>
      <c r="M168" s="78"/>
      <c r="N168" s="78"/>
      <c r="O168" s="78"/>
      <c r="P168" s="78"/>
      <c r="Q168" s="78"/>
    </row>
    <row r="169" spans="1:17" s="18" customFormat="1" ht="16" hidden="1" thickBot="1" x14ac:dyDescent="0.4">
      <c r="A169" s="134" t="s">
        <v>27</v>
      </c>
      <c r="B169" s="135">
        <f>IFERROR(D169/C169,0)</f>
        <v>0</v>
      </c>
      <c r="C169" s="238"/>
      <c r="D169" s="238">
        <f>SUM(D161:D167)</f>
        <v>0</v>
      </c>
      <c r="E169" s="80"/>
      <c r="F169" s="80"/>
      <c r="G169" s="80"/>
      <c r="H169" s="79"/>
      <c r="J169" s="78"/>
      <c r="K169" s="78"/>
      <c r="L169" s="78"/>
      <c r="M169" s="78"/>
      <c r="N169" s="78"/>
      <c r="O169" s="78"/>
      <c r="P169" s="78"/>
      <c r="Q169" s="78"/>
    </row>
    <row r="170" spans="1:17" s="18" customFormat="1" hidden="1" x14ac:dyDescent="0.35">
      <c r="A170" s="80"/>
      <c r="B170" s="80"/>
      <c r="C170" s="238"/>
      <c r="D170" s="238"/>
      <c r="E170" s="80"/>
      <c r="F170" s="80"/>
      <c r="G170" s="80"/>
      <c r="H170" s="79"/>
      <c r="J170" s="78"/>
      <c r="K170" s="78"/>
      <c r="L170" s="78"/>
      <c r="M170" s="78"/>
      <c r="N170" s="78"/>
      <c r="O170" s="78"/>
      <c r="P170" s="78"/>
      <c r="Q170" s="78"/>
    </row>
    <row r="171" spans="1:17" s="18" customFormat="1" ht="16" hidden="1" thickBot="1" x14ac:dyDescent="0.4">
      <c r="A171" s="80"/>
      <c r="B171" s="80"/>
      <c r="C171" s="238"/>
      <c r="D171" s="238"/>
      <c r="E171" s="80"/>
      <c r="F171" s="80"/>
      <c r="G171" s="80"/>
      <c r="H171" s="79"/>
      <c r="J171" s="78"/>
      <c r="K171" s="78"/>
      <c r="L171" s="78"/>
      <c r="M171" s="78"/>
      <c r="N171" s="78"/>
      <c r="O171" s="78"/>
      <c r="P171" s="78"/>
      <c r="Q171" s="78"/>
    </row>
    <row r="172" spans="1:17" s="18" customFormat="1" ht="16.5" hidden="1" thickTop="1" thickBot="1" x14ac:dyDescent="0.4">
      <c r="A172" s="213"/>
      <c r="B172" s="125" t="s">
        <v>225</v>
      </c>
      <c r="C172" s="126"/>
      <c r="D172" s="132" t="s">
        <v>25</v>
      </c>
      <c r="E172" s="80"/>
      <c r="F172" s="80"/>
      <c r="G172" s="80"/>
      <c r="H172" s="79"/>
      <c r="J172" s="78"/>
      <c r="K172" s="78"/>
      <c r="L172" s="78"/>
      <c r="M172" s="78"/>
      <c r="N172" s="78"/>
      <c r="O172" s="78"/>
      <c r="P172" s="78"/>
      <c r="Q172" s="78"/>
    </row>
    <row r="173" spans="1:17" s="18" customFormat="1" ht="16" hidden="1" thickTop="1" x14ac:dyDescent="0.35">
      <c r="A173" s="133" t="s">
        <v>88</v>
      </c>
      <c r="B173" s="384"/>
      <c r="C173" s="238"/>
      <c r="D173" s="238"/>
      <c r="E173" s="80"/>
      <c r="F173" s="80"/>
      <c r="G173" s="80"/>
      <c r="H173" s="79"/>
      <c r="J173" s="78"/>
      <c r="K173" s="78"/>
      <c r="L173" s="78"/>
      <c r="M173" s="78"/>
      <c r="N173" s="78"/>
      <c r="O173" s="78"/>
      <c r="P173" s="78"/>
      <c r="Q173" s="78"/>
    </row>
    <row r="174" spans="1:17" s="18" customFormat="1" hidden="1" x14ac:dyDescent="0.35">
      <c r="A174" s="128" t="s">
        <v>446</v>
      </c>
      <c r="B174" s="265" t="b">
        <v>0</v>
      </c>
      <c r="C174" s="238"/>
      <c r="D174" s="239">
        <f t="shared" ref="D174:D180" si="8">IF(B174,C174,0)</f>
        <v>0</v>
      </c>
      <c r="E174" s="80"/>
      <c r="F174" s="80"/>
      <c r="G174" s="80"/>
      <c r="H174" s="79"/>
      <c r="J174" s="78"/>
      <c r="K174" s="78"/>
      <c r="L174" s="78"/>
      <c r="M174" s="78"/>
      <c r="N174" s="78"/>
      <c r="O174" s="78"/>
      <c r="P174" s="78"/>
      <c r="Q174" s="78"/>
    </row>
    <row r="175" spans="1:17" s="18" customFormat="1" hidden="1" x14ac:dyDescent="0.35">
      <c r="A175" s="127" t="s">
        <v>451</v>
      </c>
      <c r="B175" s="265" t="b">
        <v>0</v>
      </c>
      <c r="C175" s="238"/>
      <c r="D175" s="239">
        <f t="shared" si="8"/>
        <v>0</v>
      </c>
      <c r="E175" s="80"/>
      <c r="F175" s="80"/>
      <c r="G175" s="80"/>
      <c r="H175" s="79"/>
      <c r="J175" s="78"/>
      <c r="K175" s="78"/>
      <c r="L175" s="78"/>
      <c r="M175" s="78"/>
      <c r="N175" s="78"/>
      <c r="O175" s="78"/>
      <c r="P175" s="78"/>
      <c r="Q175" s="78"/>
    </row>
    <row r="176" spans="1:17" s="18" customFormat="1" hidden="1" x14ac:dyDescent="0.35">
      <c r="A176" s="127" t="s">
        <v>448</v>
      </c>
      <c r="B176" s="265" t="b">
        <v>0</v>
      </c>
      <c r="C176" s="238"/>
      <c r="D176" s="239">
        <f t="shared" si="8"/>
        <v>0</v>
      </c>
      <c r="E176" s="80"/>
      <c r="F176" s="80"/>
      <c r="G176" s="80"/>
      <c r="H176" s="79"/>
      <c r="J176" s="78"/>
      <c r="K176" s="78"/>
      <c r="L176" s="78"/>
      <c r="M176" s="78"/>
      <c r="N176" s="78"/>
      <c r="O176" s="78"/>
      <c r="P176" s="78"/>
      <c r="Q176" s="78"/>
    </row>
    <row r="177" spans="1:17" s="18" customFormat="1" hidden="1" x14ac:dyDescent="0.35">
      <c r="A177" s="128" t="s">
        <v>449</v>
      </c>
      <c r="B177" s="265" t="b">
        <v>0</v>
      </c>
      <c r="C177" s="238"/>
      <c r="D177" s="239">
        <f t="shared" si="8"/>
        <v>0</v>
      </c>
      <c r="E177" s="80"/>
      <c r="F177" s="80"/>
      <c r="G177" s="80"/>
      <c r="H177" s="79"/>
      <c r="J177" s="78"/>
      <c r="K177" s="78"/>
      <c r="L177" s="78"/>
      <c r="M177" s="78"/>
      <c r="N177" s="78"/>
      <c r="O177" s="78"/>
      <c r="P177" s="78"/>
      <c r="Q177" s="78"/>
    </row>
    <row r="178" spans="1:17" s="18" customFormat="1" hidden="1" x14ac:dyDescent="0.35">
      <c r="A178" s="128" t="s">
        <v>111</v>
      </c>
      <c r="B178" s="265" t="b">
        <v>0</v>
      </c>
      <c r="C178" s="238"/>
      <c r="D178" s="239">
        <f t="shared" si="8"/>
        <v>0</v>
      </c>
      <c r="E178" s="80"/>
      <c r="F178" s="80"/>
      <c r="G178" s="80"/>
      <c r="H178" s="79"/>
      <c r="J178" s="78"/>
      <c r="K178" s="78"/>
      <c r="L178" s="78"/>
      <c r="M178" s="78"/>
      <c r="N178" s="78"/>
      <c r="O178" s="78"/>
      <c r="P178" s="78"/>
      <c r="Q178" s="78"/>
    </row>
    <row r="179" spans="1:17" s="18" customFormat="1" hidden="1" x14ac:dyDescent="0.35">
      <c r="A179" s="128" t="s">
        <v>450</v>
      </c>
      <c r="B179" s="265" t="b">
        <v>0</v>
      </c>
      <c r="C179" s="238"/>
      <c r="D179" s="239">
        <f t="shared" si="8"/>
        <v>0</v>
      </c>
      <c r="E179" s="80"/>
      <c r="F179" s="80"/>
      <c r="G179" s="80"/>
      <c r="H179" s="79"/>
      <c r="J179" s="78"/>
      <c r="K179" s="78"/>
      <c r="L179" s="78"/>
      <c r="M179" s="78"/>
      <c r="N179" s="78"/>
      <c r="O179" s="78"/>
      <c r="P179" s="78"/>
      <c r="Q179" s="78"/>
    </row>
    <row r="180" spans="1:17" s="18" customFormat="1" ht="16" hidden="1" thickBot="1" x14ac:dyDescent="0.4">
      <c r="A180" s="129" t="s">
        <v>124</v>
      </c>
      <c r="B180" s="281" t="b">
        <v>0</v>
      </c>
      <c r="C180" s="238"/>
      <c r="D180" s="239">
        <f t="shared" si="8"/>
        <v>0</v>
      </c>
      <c r="E180" s="80"/>
      <c r="F180" s="80"/>
      <c r="G180" s="80"/>
      <c r="H180" s="79"/>
      <c r="J180" s="78"/>
      <c r="K180" s="78"/>
      <c r="L180" s="78"/>
      <c r="M180" s="78"/>
      <c r="N180" s="78"/>
      <c r="O180" s="78"/>
      <c r="P180" s="78"/>
      <c r="Q180" s="78"/>
    </row>
    <row r="181" spans="1:17" s="18" customFormat="1" ht="16.5" hidden="1" thickTop="1" thickBot="1" x14ac:dyDescent="0.4">
      <c r="A181" s="124"/>
      <c r="B181" s="1"/>
      <c r="C181" s="238"/>
      <c r="D181" s="238"/>
      <c r="E181" s="80"/>
      <c r="F181" s="80"/>
      <c r="G181" s="80"/>
      <c r="H181" s="79"/>
      <c r="J181" s="78"/>
      <c r="K181" s="78"/>
      <c r="L181" s="78"/>
      <c r="M181" s="78"/>
      <c r="N181" s="78"/>
      <c r="O181" s="78"/>
      <c r="P181" s="78"/>
      <c r="Q181" s="78"/>
    </row>
    <row r="182" spans="1:17" s="18" customFormat="1" ht="16" hidden="1" thickBot="1" x14ac:dyDescent="0.4">
      <c r="A182" s="134" t="s">
        <v>27</v>
      </c>
      <c r="B182" s="135">
        <f>IFERROR(D182/C182,0)</f>
        <v>0</v>
      </c>
      <c r="C182" s="238"/>
      <c r="D182" s="238">
        <f>SUM(D174:D180)</f>
        <v>0</v>
      </c>
      <c r="E182" s="80"/>
      <c r="F182" s="80"/>
      <c r="G182" s="80"/>
      <c r="H182" s="79"/>
      <c r="J182" s="78"/>
      <c r="K182" s="78"/>
      <c r="L182" s="78"/>
      <c r="M182" s="78"/>
      <c r="N182" s="78"/>
      <c r="O182" s="78"/>
      <c r="P182" s="78"/>
      <c r="Q182" s="78"/>
    </row>
    <row r="183" spans="1:17" s="18" customFormat="1" hidden="1" x14ac:dyDescent="0.35">
      <c r="A183" s="80"/>
      <c r="B183" s="80"/>
      <c r="C183" s="238"/>
      <c r="D183" s="238"/>
      <c r="E183" s="80"/>
      <c r="F183" s="80"/>
      <c r="G183" s="80"/>
      <c r="H183" s="79"/>
      <c r="J183" s="78"/>
      <c r="K183" s="78"/>
      <c r="L183" s="78"/>
      <c r="M183" s="78"/>
      <c r="N183" s="78"/>
      <c r="O183" s="78"/>
      <c r="P183" s="78"/>
      <c r="Q183" s="78"/>
    </row>
    <row r="184" spans="1:17" s="18" customFormat="1" ht="16" hidden="1" thickBot="1" x14ac:dyDescent="0.4">
      <c r="A184" s="80"/>
      <c r="B184" s="80"/>
      <c r="C184" s="238"/>
      <c r="D184" s="238"/>
      <c r="E184" s="80"/>
      <c r="F184" s="80"/>
      <c r="G184" s="80"/>
      <c r="H184" s="79"/>
      <c r="J184" s="78"/>
      <c r="K184" s="78"/>
      <c r="L184" s="78"/>
      <c r="M184" s="78"/>
      <c r="N184" s="78"/>
      <c r="O184" s="78"/>
      <c r="P184" s="78"/>
      <c r="Q184" s="78"/>
    </row>
    <row r="185" spans="1:17" s="18" customFormat="1" ht="16.5" hidden="1" thickTop="1" thickBot="1" x14ac:dyDescent="0.4">
      <c r="A185" s="213"/>
      <c r="B185" s="125" t="s">
        <v>225</v>
      </c>
      <c r="C185" s="126"/>
      <c r="D185" s="132" t="s">
        <v>25</v>
      </c>
      <c r="E185" s="80"/>
      <c r="F185" s="80"/>
      <c r="G185" s="80"/>
      <c r="H185" s="79"/>
      <c r="J185" s="78"/>
      <c r="K185" s="78"/>
      <c r="L185" s="78"/>
      <c r="M185" s="78"/>
      <c r="N185" s="78"/>
      <c r="O185" s="78"/>
      <c r="P185" s="78"/>
      <c r="Q185" s="78"/>
    </row>
    <row r="186" spans="1:17" s="18" customFormat="1" ht="16" hidden="1" thickTop="1" x14ac:dyDescent="0.35">
      <c r="A186" s="133" t="s">
        <v>423</v>
      </c>
      <c r="B186" s="384"/>
      <c r="C186" s="238"/>
      <c r="D186" s="238"/>
      <c r="E186" s="80"/>
      <c r="F186" s="80"/>
      <c r="G186" s="80"/>
      <c r="H186" s="79"/>
      <c r="J186" s="78"/>
      <c r="K186" s="78"/>
      <c r="L186" s="78"/>
      <c r="M186" s="78"/>
      <c r="N186" s="78"/>
      <c r="O186" s="78"/>
      <c r="P186" s="78"/>
      <c r="Q186" s="78"/>
    </row>
    <row r="187" spans="1:17" s="18" customFormat="1" hidden="1" x14ac:dyDescent="0.35">
      <c r="A187" s="128" t="s">
        <v>446</v>
      </c>
      <c r="B187" s="265" t="b">
        <v>0</v>
      </c>
      <c r="C187" s="238"/>
      <c r="D187" s="239">
        <f t="shared" ref="D187:D193" si="9">IF(B187,C187,0)</f>
        <v>0</v>
      </c>
      <c r="E187" s="80"/>
      <c r="F187" s="80"/>
      <c r="G187" s="80"/>
      <c r="H187" s="79"/>
      <c r="J187" s="78"/>
      <c r="K187" s="78"/>
      <c r="L187" s="78"/>
      <c r="M187" s="78"/>
      <c r="N187" s="78"/>
      <c r="O187" s="78"/>
      <c r="P187" s="78"/>
      <c r="Q187" s="78"/>
    </row>
    <row r="188" spans="1:17" s="18" customFormat="1" hidden="1" x14ac:dyDescent="0.35">
      <c r="A188" s="127" t="s">
        <v>451</v>
      </c>
      <c r="B188" s="265" t="b">
        <v>0</v>
      </c>
      <c r="C188" s="238"/>
      <c r="D188" s="239">
        <f t="shared" si="9"/>
        <v>0</v>
      </c>
      <c r="E188" s="80"/>
      <c r="F188" s="80"/>
      <c r="G188" s="80"/>
      <c r="H188" s="79"/>
      <c r="J188" s="78"/>
      <c r="K188" s="78"/>
      <c r="L188" s="78"/>
      <c r="M188" s="78"/>
      <c r="N188" s="78"/>
      <c r="O188" s="78"/>
      <c r="P188" s="78"/>
      <c r="Q188" s="78"/>
    </row>
    <row r="189" spans="1:17" s="18" customFormat="1" hidden="1" x14ac:dyDescent="0.35">
      <c r="A189" s="127" t="s">
        <v>448</v>
      </c>
      <c r="B189" s="265" t="b">
        <v>0</v>
      </c>
      <c r="C189" s="238"/>
      <c r="D189" s="239">
        <f t="shared" si="9"/>
        <v>0</v>
      </c>
      <c r="E189" s="80"/>
      <c r="F189" s="80"/>
      <c r="G189" s="80"/>
      <c r="H189" s="79"/>
      <c r="J189" s="78"/>
      <c r="K189" s="78"/>
      <c r="L189" s="78"/>
      <c r="M189" s="78"/>
      <c r="N189" s="78"/>
      <c r="O189" s="78"/>
      <c r="P189" s="78"/>
      <c r="Q189" s="78"/>
    </row>
    <row r="190" spans="1:17" s="18" customFormat="1" hidden="1" x14ac:dyDescent="0.35">
      <c r="A190" s="128" t="s">
        <v>449</v>
      </c>
      <c r="B190" s="265" t="b">
        <v>0</v>
      </c>
      <c r="C190" s="238"/>
      <c r="D190" s="239">
        <f t="shared" si="9"/>
        <v>0</v>
      </c>
      <c r="E190" s="80"/>
      <c r="F190" s="80"/>
      <c r="G190" s="80"/>
      <c r="H190" s="79"/>
      <c r="J190" s="78"/>
      <c r="K190" s="78"/>
      <c r="L190" s="78"/>
      <c r="M190" s="78"/>
      <c r="N190" s="78"/>
      <c r="O190" s="78"/>
      <c r="P190" s="78"/>
      <c r="Q190" s="78"/>
    </row>
    <row r="191" spans="1:17" s="18" customFormat="1" hidden="1" x14ac:dyDescent="0.35">
      <c r="A191" s="128" t="s">
        <v>111</v>
      </c>
      <c r="B191" s="265" t="b">
        <v>0</v>
      </c>
      <c r="C191" s="238"/>
      <c r="D191" s="239">
        <f t="shared" si="9"/>
        <v>0</v>
      </c>
      <c r="E191" s="80"/>
      <c r="F191" s="80"/>
      <c r="G191" s="80"/>
      <c r="H191" s="79"/>
      <c r="J191" s="78"/>
      <c r="K191" s="78"/>
      <c r="L191" s="78"/>
      <c r="M191" s="78"/>
      <c r="N191" s="78"/>
      <c r="O191" s="78"/>
      <c r="P191" s="78"/>
      <c r="Q191" s="78"/>
    </row>
    <row r="192" spans="1:17" s="18" customFormat="1" hidden="1" x14ac:dyDescent="0.35">
      <c r="A192" s="128" t="s">
        <v>450</v>
      </c>
      <c r="B192" s="265" t="b">
        <v>0</v>
      </c>
      <c r="C192" s="238"/>
      <c r="D192" s="239">
        <f t="shared" si="9"/>
        <v>0</v>
      </c>
      <c r="E192" s="80"/>
      <c r="F192" s="80"/>
      <c r="G192" s="80"/>
      <c r="H192" s="79"/>
      <c r="J192" s="78"/>
      <c r="K192" s="78"/>
      <c r="L192" s="78"/>
      <c r="M192" s="78"/>
      <c r="N192" s="78"/>
      <c r="O192" s="78"/>
      <c r="P192" s="78"/>
      <c r="Q192" s="78"/>
    </row>
    <row r="193" spans="1:17" s="18" customFormat="1" ht="16" hidden="1" thickBot="1" x14ac:dyDescent="0.4">
      <c r="A193" s="129" t="s">
        <v>124</v>
      </c>
      <c r="B193" s="281" t="b">
        <v>0</v>
      </c>
      <c r="C193" s="238"/>
      <c r="D193" s="239">
        <f t="shared" si="9"/>
        <v>0</v>
      </c>
      <c r="E193" s="80"/>
      <c r="F193" s="80"/>
      <c r="G193" s="80"/>
      <c r="H193" s="79"/>
      <c r="J193" s="78"/>
      <c r="K193" s="78"/>
      <c r="L193" s="78"/>
      <c r="M193" s="78"/>
      <c r="N193" s="78"/>
      <c r="O193" s="78"/>
      <c r="P193" s="78"/>
      <c r="Q193" s="78"/>
    </row>
    <row r="194" spans="1:17" s="18" customFormat="1" ht="16.5" hidden="1" thickTop="1" thickBot="1" x14ac:dyDescent="0.4">
      <c r="A194" s="80"/>
      <c r="B194" s="80"/>
      <c r="C194" s="238"/>
      <c r="D194" s="238"/>
      <c r="E194" s="80"/>
      <c r="F194" s="80"/>
      <c r="G194" s="80"/>
      <c r="H194" s="79"/>
      <c r="J194" s="78"/>
      <c r="K194" s="78"/>
      <c r="L194" s="78"/>
      <c r="M194" s="78"/>
      <c r="N194" s="78"/>
      <c r="O194" s="78"/>
      <c r="P194" s="78"/>
      <c r="Q194" s="78"/>
    </row>
    <row r="195" spans="1:17" s="18" customFormat="1" ht="16" hidden="1" thickBot="1" x14ac:dyDescent="0.4">
      <c r="A195" s="134" t="s">
        <v>27</v>
      </c>
      <c r="B195" s="135">
        <f>IFERROR(D195/C195,0)</f>
        <v>0</v>
      </c>
      <c r="C195" s="238"/>
      <c r="D195" s="238">
        <f>SUM(D187:D193)</f>
        <v>0</v>
      </c>
      <c r="E195" s="80"/>
      <c r="F195" s="80"/>
      <c r="G195" s="80"/>
      <c r="H195" s="79"/>
      <c r="J195" s="78"/>
      <c r="K195" s="78"/>
      <c r="L195" s="78"/>
      <c r="M195" s="78"/>
      <c r="N195" s="78"/>
      <c r="O195" s="78"/>
      <c r="P195" s="78"/>
      <c r="Q195" s="78"/>
    </row>
    <row r="196" spans="1:17" s="18" customFormat="1" hidden="1" x14ac:dyDescent="0.35">
      <c r="A196" s="80"/>
      <c r="B196" s="80"/>
      <c r="C196" s="238"/>
      <c r="D196" s="238"/>
      <c r="E196" s="80"/>
      <c r="F196" s="80"/>
      <c r="G196" s="80"/>
      <c r="H196" s="79"/>
      <c r="J196" s="78"/>
      <c r="K196" s="78"/>
      <c r="L196" s="78"/>
      <c r="M196" s="78"/>
      <c r="N196" s="78"/>
      <c r="O196" s="78"/>
      <c r="P196" s="78"/>
      <c r="Q196" s="78"/>
    </row>
    <row r="197" spans="1:17" s="18" customFormat="1" hidden="1" x14ac:dyDescent="0.35">
      <c r="A197" s="80"/>
      <c r="B197" s="80"/>
      <c r="C197" s="238"/>
      <c r="D197" s="238"/>
      <c r="E197" s="80"/>
      <c r="F197" s="80"/>
      <c r="G197" s="80"/>
      <c r="H197" s="79"/>
      <c r="J197" s="78"/>
      <c r="K197" s="78"/>
      <c r="L197" s="78"/>
      <c r="M197" s="78"/>
      <c r="N197" s="78"/>
      <c r="O197" s="78"/>
      <c r="P197" s="78"/>
      <c r="Q197" s="78"/>
    </row>
    <row r="198" spans="1:17" s="18" customFormat="1" hidden="1" x14ac:dyDescent="0.35">
      <c r="A198" s="80"/>
      <c r="B198" s="80"/>
      <c r="C198" s="238"/>
      <c r="D198" s="238"/>
      <c r="E198" s="80"/>
      <c r="F198" s="80"/>
      <c r="G198" s="80"/>
      <c r="H198" s="79"/>
      <c r="J198" s="78"/>
      <c r="K198" s="78"/>
      <c r="L198" s="78"/>
      <c r="M198" s="78"/>
      <c r="N198" s="78"/>
      <c r="O198" s="78"/>
      <c r="P198" s="78"/>
      <c r="Q198" s="78"/>
    </row>
    <row r="199" spans="1:17" s="18" customFormat="1" x14ac:dyDescent="0.35">
      <c r="A199" s="339" t="s">
        <v>280</v>
      </c>
      <c r="B199" s="340">
        <f>IF(shiptypenum=1,B34,IF(shiptypenum=2,B62,IF(shiptypenum&lt;5,B87,IF(shiptypenum=5,B144,IF(shiptypenum&lt;8,B130,IF(shiptypenum=8,B110,IF(shiptypenum=9,B144,IF(shiptypenum=10,B156,IF(shiptypenum=11,B169,IF(shiptypenum=12,B182,IF(shiptypenum=13,B195,0)))))))))))</f>
        <v>0</v>
      </c>
      <c r="C199" s="238"/>
      <c r="D199" s="238"/>
      <c r="E199" s="80"/>
      <c r="F199" s="80"/>
      <c r="G199" s="80"/>
      <c r="H199" s="79"/>
      <c r="J199" s="78"/>
      <c r="K199" s="78"/>
      <c r="L199" s="78"/>
      <c r="M199" s="78"/>
      <c r="N199" s="78"/>
      <c r="O199" s="78"/>
      <c r="P199" s="78"/>
      <c r="Q199" s="78"/>
    </row>
    <row r="200" spans="1:17" s="18" customFormat="1" x14ac:dyDescent="0.35">
      <c r="A200" s="80"/>
      <c r="B200" s="80"/>
      <c r="C200" s="383"/>
      <c r="D200" s="238"/>
      <c r="E200" s="80"/>
      <c r="F200" s="80"/>
      <c r="G200" s="80"/>
      <c r="H200" s="79"/>
      <c r="J200" s="78"/>
      <c r="K200" s="78"/>
      <c r="L200" s="78"/>
      <c r="M200" s="78"/>
      <c r="N200" s="78"/>
      <c r="O200" s="78"/>
      <c r="P200" s="78"/>
      <c r="Q200" s="78"/>
    </row>
    <row r="201" spans="1:17" s="18" customFormat="1" x14ac:dyDescent="0.35">
      <c r="A201" s="80"/>
      <c r="B201" s="80"/>
      <c r="C201" s="238"/>
      <c r="D201" s="238"/>
      <c r="E201" s="80"/>
      <c r="F201" s="80"/>
      <c r="G201" s="80"/>
      <c r="H201" s="79"/>
      <c r="J201" s="78"/>
      <c r="K201" s="78"/>
      <c r="L201" s="78"/>
      <c r="M201" s="78"/>
      <c r="N201" s="78"/>
      <c r="O201" s="78"/>
      <c r="P201" s="78"/>
      <c r="Q201" s="78"/>
    </row>
    <row r="202" spans="1:17" s="18" customFormat="1" x14ac:dyDescent="0.35">
      <c r="A202" s="80"/>
      <c r="B202" s="80"/>
      <c r="C202" s="238"/>
      <c r="D202" s="238"/>
      <c r="E202" s="80"/>
      <c r="F202" s="80"/>
      <c r="G202" s="80"/>
      <c r="H202" s="79"/>
      <c r="J202" s="78"/>
      <c r="K202" s="78"/>
      <c r="L202" s="78"/>
      <c r="M202" s="78"/>
      <c r="N202" s="78"/>
      <c r="O202" s="78"/>
      <c r="P202" s="78"/>
      <c r="Q202" s="78"/>
    </row>
    <row r="203" spans="1:17" s="18" customFormat="1" x14ac:dyDescent="0.35">
      <c r="A203" s="80"/>
      <c r="B203" s="80"/>
      <c r="C203" s="238"/>
      <c r="D203" s="238"/>
      <c r="E203" s="80"/>
      <c r="F203" s="80"/>
      <c r="G203" s="80"/>
      <c r="H203" s="79"/>
      <c r="J203" s="78"/>
      <c r="K203" s="78"/>
      <c r="L203" s="78"/>
      <c r="M203" s="78"/>
      <c r="N203" s="78"/>
      <c r="O203" s="78"/>
      <c r="P203" s="78"/>
      <c r="Q203" s="78"/>
    </row>
    <row r="204" spans="1:17" s="18" customFormat="1" x14ac:dyDescent="0.35">
      <c r="A204" s="80"/>
      <c r="B204" s="80"/>
      <c r="C204" s="238"/>
      <c r="D204" s="238"/>
      <c r="E204" s="80"/>
      <c r="F204" s="80"/>
      <c r="G204" s="80"/>
      <c r="H204" s="79"/>
      <c r="J204" s="78"/>
      <c r="K204" s="78"/>
      <c r="L204" s="78"/>
      <c r="M204" s="78"/>
      <c r="N204" s="78"/>
      <c r="O204" s="78"/>
      <c r="P204" s="78"/>
      <c r="Q204" s="78"/>
    </row>
    <row r="205" spans="1:17" s="18" customFormat="1" x14ac:dyDescent="0.35">
      <c r="A205" s="80"/>
      <c r="B205" s="80"/>
      <c r="C205" s="238"/>
      <c r="D205" s="238"/>
      <c r="E205" s="80"/>
      <c r="F205" s="80"/>
      <c r="G205" s="80"/>
      <c r="H205" s="79"/>
      <c r="J205" s="78"/>
      <c r="K205" s="78"/>
      <c r="L205" s="78"/>
      <c r="M205" s="78"/>
      <c r="N205" s="78"/>
      <c r="O205" s="78"/>
      <c r="P205" s="78"/>
      <c r="Q205" s="78"/>
    </row>
    <row r="206" spans="1:17" s="18" customFormat="1" x14ac:dyDescent="0.35">
      <c r="A206" s="80"/>
      <c r="B206" s="80"/>
      <c r="C206" s="238"/>
      <c r="D206" s="238"/>
      <c r="E206" s="80"/>
      <c r="F206" s="80"/>
      <c r="G206" s="80"/>
      <c r="H206" s="79"/>
      <c r="J206" s="78"/>
      <c r="K206" s="78"/>
      <c r="L206" s="78"/>
      <c r="M206" s="78"/>
      <c r="N206" s="78"/>
      <c r="O206" s="78"/>
      <c r="P206" s="78"/>
      <c r="Q206" s="78"/>
    </row>
    <row r="207" spans="1:17" s="18" customFormat="1" x14ac:dyDescent="0.35">
      <c r="A207" s="80"/>
      <c r="B207" s="80"/>
      <c r="C207" s="238"/>
      <c r="D207" s="238"/>
      <c r="E207" s="80"/>
      <c r="F207" s="80"/>
      <c r="G207" s="80"/>
      <c r="H207" s="79"/>
      <c r="J207" s="78"/>
      <c r="K207" s="78"/>
      <c r="L207" s="78"/>
      <c r="M207" s="78"/>
      <c r="N207" s="78"/>
      <c r="O207" s="78"/>
      <c r="P207" s="78"/>
      <c r="Q207" s="78"/>
    </row>
    <row r="208" spans="1:17" s="18" customFormat="1" x14ac:dyDescent="0.35">
      <c r="A208" s="80"/>
      <c r="B208" s="80"/>
      <c r="C208" s="238"/>
      <c r="D208" s="238"/>
      <c r="E208" s="80"/>
      <c r="F208" s="80"/>
      <c r="G208" s="80"/>
      <c r="H208" s="79"/>
      <c r="J208" s="78"/>
      <c r="K208" s="78"/>
      <c r="L208" s="78"/>
      <c r="M208" s="78"/>
      <c r="N208" s="78"/>
      <c r="O208" s="78"/>
      <c r="P208" s="78"/>
      <c r="Q208" s="78"/>
    </row>
    <row r="209" spans="1:17" s="18" customFormat="1" x14ac:dyDescent="0.35">
      <c r="A209" s="80"/>
      <c r="B209" s="80"/>
      <c r="C209" s="238"/>
      <c r="D209" s="238"/>
      <c r="E209" s="80"/>
      <c r="F209" s="80"/>
      <c r="G209" s="80"/>
      <c r="H209" s="79"/>
      <c r="J209" s="78"/>
      <c r="K209" s="78"/>
      <c r="L209" s="78"/>
      <c r="M209" s="78"/>
      <c r="N209" s="78"/>
      <c r="O209" s="78"/>
      <c r="P209" s="78"/>
      <c r="Q209" s="78"/>
    </row>
    <row r="210" spans="1:17" s="18" customFormat="1" x14ac:dyDescent="0.35">
      <c r="A210" s="80"/>
      <c r="B210" s="80"/>
      <c r="C210" s="238"/>
      <c r="D210" s="238"/>
      <c r="E210" s="80"/>
      <c r="F210" s="80"/>
      <c r="G210" s="80"/>
      <c r="H210" s="79"/>
      <c r="J210" s="78"/>
      <c r="K210" s="78"/>
      <c r="L210" s="78"/>
      <c r="M210" s="78"/>
      <c r="N210" s="78"/>
      <c r="O210" s="78"/>
      <c r="P210" s="78"/>
      <c r="Q210" s="78"/>
    </row>
    <row r="211" spans="1:17" s="18" customFormat="1" x14ac:dyDescent="0.35">
      <c r="A211" s="80"/>
      <c r="B211" s="80"/>
      <c r="C211" s="238"/>
      <c r="D211" s="238"/>
      <c r="E211" s="80"/>
      <c r="F211" s="80"/>
      <c r="G211" s="80"/>
      <c r="H211" s="79"/>
      <c r="J211" s="78"/>
      <c r="K211" s="78"/>
      <c r="L211" s="78"/>
      <c r="M211" s="78"/>
      <c r="N211" s="78"/>
      <c r="O211" s="78"/>
      <c r="P211" s="78"/>
      <c r="Q211" s="78"/>
    </row>
    <row r="212" spans="1:17" s="18" customFormat="1" x14ac:dyDescent="0.35">
      <c r="A212" s="80"/>
      <c r="B212" s="80"/>
      <c r="C212" s="238"/>
      <c r="D212" s="238"/>
      <c r="E212" s="80"/>
      <c r="F212" s="80"/>
      <c r="G212" s="80"/>
      <c r="H212" s="79"/>
      <c r="J212" s="78"/>
      <c r="K212" s="78"/>
      <c r="L212" s="78"/>
      <c r="M212" s="78"/>
      <c r="N212" s="78"/>
      <c r="O212" s="78"/>
      <c r="P212" s="78"/>
      <c r="Q212" s="78"/>
    </row>
    <row r="213" spans="1:17" s="18" customFormat="1" x14ac:dyDescent="0.35">
      <c r="A213" s="80"/>
      <c r="B213" s="80"/>
      <c r="C213" s="238"/>
      <c r="D213" s="238"/>
      <c r="E213" s="80"/>
      <c r="F213" s="80"/>
      <c r="G213" s="80"/>
      <c r="H213" s="79"/>
      <c r="J213" s="78"/>
      <c r="K213" s="78"/>
      <c r="L213" s="78"/>
      <c r="M213" s="78"/>
      <c r="N213" s="78"/>
      <c r="O213" s="78"/>
      <c r="P213" s="78"/>
      <c r="Q213" s="78"/>
    </row>
    <row r="214" spans="1:17" s="18" customFormat="1" x14ac:dyDescent="0.35">
      <c r="A214" s="80"/>
      <c r="B214" s="80"/>
      <c r="C214" s="238"/>
      <c r="D214" s="238"/>
      <c r="E214" s="80"/>
      <c r="F214" s="80"/>
      <c r="G214" s="80"/>
      <c r="H214" s="79"/>
      <c r="J214" s="78"/>
      <c r="K214" s="78"/>
      <c r="L214" s="78"/>
      <c r="M214" s="78"/>
      <c r="N214" s="78"/>
      <c r="O214" s="78"/>
      <c r="P214" s="78"/>
      <c r="Q214" s="78"/>
    </row>
    <row r="215" spans="1:17" s="18" customFormat="1" x14ac:dyDescent="0.35">
      <c r="A215" s="80"/>
      <c r="B215" s="80"/>
      <c r="C215" s="238"/>
      <c r="D215" s="238"/>
      <c r="E215" s="80"/>
      <c r="F215" s="80"/>
      <c r="G215" s="80"/>
      <c r="H215" s="79"/>
      <c r="J215" s="78"/>
      <c r="K215" s="78"/>
      <c r="L215" s="78"/>
      <c r="M215" s="78"/>
      <c r="N215" s="78"/>
      <c r="O215" s="78"/>
      <c r="P215" s="78"/>
      <c r="Q215" s="78"/>
    </row>
    <row r="216" spans="1:17" s="18" customFormat="1" x14ac:dyDescent="0.35">
      <c r="A216" s="80"/>
      <c r="B216" s="80"/>
      <c r="C216" s="238"/>
      <c r="D216" s="238"/>
      <c r="E216" s="80"/>
      <c r="F216" s="80"/>
      <c r="G216" s="80"/>
      <c r="H216" s="79"/>
      <c r="J216" s="78"/>
      <c r="K216" s="78"/>
      <c r="L216" s="78"/>
      <c r="M216" s="78"/>
      <c r="N216" s="78"/>
      <c r="O216" s="78"/>
      <c r="P216" s="78"/>
      <c r="Q216" s="78"/>
    </row>
    <row r="217" spans="1:17" s="18" customFormat="1" x14ac:dyDescent="0.35">
      <c r="A217" s="80"/>
      <c r="B217" s="80"/>
      <c r="C217" s="238"/>
      <c r="D217" s="238"/>
      <c r="E217" s="80"/>
      <c r="F217" s="80"/>
      <c r="G217" s="80"/>
      <c r="H217" s="79"/>
      <c r="J217" s="78"/>
      <c r="K217" s="78"/>
      <c r="L217" s="78"/>
      <c r="M217" s="78"/>
      <c r="N217" s="78"/>
      <c r="O217" s="78"/>
      <c r="P217" s="78"/>
      <c r="Q217" s="78"/>
    </row>
    <row r="218" spans="1:17" s="18" customFormat="1" x14ac:dyDescent="0.35">
      <c r="A218" s="80"/>
      <c r="B218" s="80"/>
      <c r="C218" s="238"/>
      <c r="D218" s="238"/>
      <c r="E218" s="80"/>
      <c r="F218" s="80"/>
      <c r="G218" s="80"/>
      <c r="H218" s="79"/>
      <c r="J218" s="78"/>
      <c r="K218" s="78"/>
      <c r="L218" s="78"/>
      <c r="M218" s="78"/>
      <c r="N218" s="78"/>
      <c r="O218" s="78"/>
      <c r="P218" s="78"/>
      <c r="Q218" s="78"/>
    </row>
    <row r="219" spans="1:17" s="18" customFormat="1" x14ac:dyDescent="0.35">
      <c r="A219" s="80"/>
      <c r="B219" s="80"/>
      <c r="C219" s="238"/>
      <c r="D219" s="238"/>
      <c r="E219" s="80"/>
      <c r="F219" s="80"/>
      <c r="G219" s="80"/>
      <c r="H219" s="79"/>
      <c r="J219" s="78"/>
      <c r="K219" s="78"/>
      <c r="L219" s="78"/>
      <c r="M219" s="78"/>
      <c r="N219" s="78"/>
      <c r="O219" s="78"/>
      <c r="P219" s="78"/>
      <c r="Q219" s="78"/>
    </row>
    <row r="220" spans="1:17" s="18" customFormat="1" x14ac:dyDescent="0.35">
      <c r="A220" s="80"/>
      <c r="B220" s="80"/>
      <c r="C220" s="238"/>
      <c r="D220" s="238"/>
      <c r="E220" s="80"/>
      <c r="F220" s="80"/>
      <c r="G220" s="80"/>
      <c r="H220" s="79"/>
      <c r="J220" s="78"/>
      <c r="K220" s="78"/>
      <c r="L220" s="78"/>
      <c r="M220" s="78"/>
      <c r="N220" s="78"/>
      <c r="O220" s="78"/>
      <c r="P220" s="78"/>
      <c r="Q220" s="78"/>
    </row>
    <row r="221" spans="1:17" s="18" customFormat="1" x14ac:dyDescent="0.35">
      <c r="A221" s="80"/>
      <c r="B221" s="80"/>
      <c r="C221" s="238"/>
      <c r="D221" s="238"/>
      <c r="E221" s="80"/>
      <c r="F221" s="80"/>
      <c r="G221" s="80"/>
      <c r="H221" s="79"/>
      <c r="J221" s="78"/>
      <c r="K221" s="78"/>
      <c r="L221" s="78"/>
      <c r="M221" s="78"/>
      <c r="N221" s="78"/>
      <c r="O221" s="78"/>
      <c r="P221" s="78"/>
      <c r="Q221" s="78"/>
    </row>
    <row r="222" spans="1:17" s="18" customFormat="1" x14ac:dyDescent="0.35">
      <c r="A222" s="80"/>
      <c r="B222" s="80"/>
      <c r="C222" s="238"/>
      <c r="D222" s="238"/>
      <c r="E222" s="80"/>
      <c r="F222" s="80"/>
      <c r="G222" s="80"/>
      <c r="H222" s="79"/>
      <c r="J222" s="78"/>
      <c r="K222" s="78"/>
      <c r="L222" s="78"/>
      <c r="M222" s="78"/>
      <c r="N222" s="78"/>
      <c r="O222" s="78"/>
      <c r="P222" s="78"/>
      <c r="Q222" s="78"/>
    </row>
    <row r="223" spans="1:17" s="18" customFormat="1" x14ac:dyDescent="0.35">
      <c r="A223" s="80"/>
      <c r="B223" s="80"/>
      <c r="C223" s="238"/>
      <c r="D223" s="238"/>
      <c r="E223" s="80"/>
      <c r="F223" s="80"/>
      <c r="G223" s="80"/>
      <c r="H223" s="79"/>
      <c r="J223" s="78"/>
      <c r="K223" s="78"/>
      <c r="L223" s="78"/>
      <c r="M223" s="78"/>
      <c r="N223" s="78"/>
      <c r="O223" s="78"/>
      <c r="P223" s="78"/>
      <c r="Q223" s="78"/>
    </row>
    <row r="224" spans="1:17" s="18" customFormat="1" x14ac:dyDescent="0.35">
      <c r="A224" s="80"/>
      <c r="B224" s="80"/>
      <c r="C224" s="238"/>
      <c r="D224" s="238"/>
      <c r="E224" s="80"/>
      <c r="F224" s="80"/>
      <c r="G224" s="80"/>
      <c r="H224" s="79"/>
      <c r="J224" s="78"/>
      <c r="K224" s="78"/>
      <c r="L224" s="78"/>
      <c r="M224" s="78"/>
      <c r="N224" s="78"/>
      <c r="O224" s="78"/>
      <c r="P224" s="78"/>
      <c r="Q224" s="78"/>
    </row>
    <row r="225" spans="1:17" s="18" customFormat="1" x14ac:dyDescent="0.35">
      <c r="A225" s="80"/>
      <c r="B225" s="80"/>
      <c r="C225" s="238"/>
      <c r="D225" s="238"/>
      <c r="E225" s="80"/>
      <c r="F225" s="80"/>
      <c r="G225" s="80"/>
      <c r="H225" s="79"/>
      <c r="J225" s="78"/>
      <c r="K225" s="78"/>
      <c r="L225" s="78"/>
      <c r="M225" s="78"/>
      <c r="N225" s="78"/>
      <c r="O225" s="78"/>
      <c r="P225" s="78"/>
      <c r="Q225" s="78"/>
    </row>
    <row r="226" spans="1:17" s="18" customFormat="1" x14ac:dyDescent="0.35">
      <c r="A226" s="80"/>
      <c r="B226" s="80"/>
      <c r="C226" s="238"/>
      <c r="D226" s="238"/>
      <c r="E226" s="80"/>
      <c r="F226" s="80"/>
      <c r="G226" s="80"/>
      <c r="H226" s="79"/>
      <c r="J226" s="78"/>
      <c r="K226" s="78"/>
      <c r="L226" s="78"/>
      <c r="M226" s="78"/>
      <c r="N226" s="78"/>
      <c r="O226" s="78"/>
      <c r="P226" s="78"/>
      <c r="Q226" s="78"/>
    </row>
    <row r="227" spans="1:17" s="18" customFormat="1" x14ac:dyDescent="0.35">
      <c r="A227" s="80"/>
      <c r="B227" s="80"/>
      <c r="C227" s="238"/>
      <c r="D227" s="238"/>
      <c r="E227" s="80"/>
      <c r="F227" s="80"/>
      <c r="G227" s="80"/>
      <c r="H227" s="79"/>
      <c r="J227" s="78"/>
      <c r="K227" s="78"/>
      <c r="L227" s="78"/>
      <c r="M227" s="78"/>
      <c r="N227" s="78"/>
      <c r="O227" s="78"/>
      <c r="P227" s="78"/>
      <c r="Q227" s="78"/>
    </row>
    <row r="228" spans="1:17" x14ac:dyDescent="0.35">
      <c r="J228" s="17"/>
      <c r="K228" s="17"/>
      <c r="L228" s="17"/>
      <c r="M228" s="17"/>
      <c r="N228" s="17"/>
      <c r="O228" s="17"/>
      <c r="P228" s="17"/>
      <c r="Q228" s="17"/>
    </row>
    <row r="229" spans="1:17" x14ac:dyDescent="0.35">
      <c r="J229" s="17"/>
      <c r="K229" s="17"/>
      <c r="L229" s="17"/>
      <c r="M229" s="17"/>
      <c r="N229" s="17"/>
      <c r="O229" s="17"/>
      <c r="P229" s="17"/>
      <c r="Q229" s="17"/>
    </row>
    <row r="230" spans="1:17" x14ac:dyDescent="0.35">
      <c r="J230" s="17"/>
      <c r="K230" s="17"/>
      <c r="L230" s="17"/>
      <c r="M230" s="17"/>
      <c r="N230" s="17"/>
      <c r="O230" s="17"/>
      <c r="P230" s="17"/>
      <c r="Q230" s="17"/>
    </row>
    <row r="231" spans="1:17" x14ac:dyDescent="0.35">
      <c r="J231" s="17"/>
      <c r="K231" s="17"/>
      <c r="L231" s="17"/>
      <c r="M231" s="17"/>
      <c r="N231" s="17"/>
      <c r="O231" s="17"/>
      <c r="P231" s="17"/>
      <c r="Q231" s="17"/>
    </row>
    <row r="232" spans="1:17" x14ac:dyDescent="0.35">
      <c r="J232" s="17"/>
      <c r="K232" s="17"/>
      <c r="L232" s="17"/>
      <c r="M232" s="17"/>
      <c r="N232" s="17"/>
      <c r="O232" s="17"/>
      <c r="P232" s="17"/>
      <c r="Q232" s="17"/>
    </row>
    <row r="233" spans="1:17" x14ac:dyDescent="0.35">
      <c r="J233" s="17"/>
      <c r="K233" s="17"/>
      <c r="L233" s="17"/>
      <c r="M233" s="17"/>
      <c r="N233" s="17"/>
      <c r="O233" s="17"/>
      <c r="P233" s="17"/>
      <c r="Q233" s="17"/>
    </row>
    <row r="234" spans="1:17" x14ac:dyDescent="0.35">
      <c r="J234" s="17"/>
      <c r="K234" s="17"/>
      <c r="L234" s="17"/>
      <c r="M234" s="17"/>
      <c r="N234" s="17"/>
      <c r="O234" s="17"/>
      <c r="P234" s="17"/>
      <c r="Q234" s="17"/>
    </row>
    <row r="235" spans="1:17" x14ac:dyDescent="0.35">
      <c r="J235" s="17"/>
      <c r="K235" s="17"/>
      <c r="L235" s="17"/>
      <c r="M235" s="17"/>
      <c r="N235" s="17"/>
      <c r="O235" s="17"/>
      <c r="P235" s="17"/>
      <c r="Q235" s="17"/>
    </row>
    <row r="236" spans="1:17" x14ac:dyDescent="0.35">
      <c r="J236" s="17"/>
      <c r="K236" s="17"/>
      <c r="L236" s="17"/>
      <c r="M236" s="17"/>
      <c r="N236" s="17"/>
      <c r="O236" s="17"/>
      <c r="P236" s="17"/>
      <c r="Q236" s="17"/>
    </row>
    <row r="237" spans="1:17" x14ac:dyDescent="0.35">
      <c r="J237" s="17"/>
      <c r="K237" s="17"/>
      <c r="L237" s="17"/>
      <c r="M237" s="17"/>
      <c r="N237" s="17"/>
      <c r="O237" s="17"/>
      <c r="P237" s="17"/>
      <c r="Q237" s="17"/>
    </row>
    <row r="238" spans="1:17" x14ac:dyDescent="0.35">
      <c r="J238" s="17"/>
      <c r="K238" s="17"/>
      <c r="L238" s="17"/>
      <c r="M238" s="17"/>
      <c r="N238" s="17"/>
      <c r="O238" s="17"/>
      <c r="P238" s="17"/>
      <c r="Q238" s="17"/>
    </row>
    <row r="239" spans="1:17" x14ac:dyDescent="0.35">
      <c r="J239" s="17"/>
      <c r="K239" s="17"/>
      <c r="L239" s="17"/>
      <c r="M239" s="17"/>
      <c r="N239" s="17"/>
      <c r="O239" s="17"/>
      <c r="P239" s="17"/>
      <c r="Q239" s="17"/>
    </row>
    <row r="240" spans="1:17" x14ac:dyDescent="0.35">
      <c r="J240" s="17"/>
      <c r="K240" s="17"/>
      <c r="L240" s="17"/>
      <c r="M240" s="17"/>
      <c r="N240" s="17"/>
      <c r="O240" s="17"/>
      <c r="P240" s="17"/>
      <c r="Q240" s="17"/>
    </row>
    <row r="241" spans="10:17" x14ac:dyDescent="0.35">
      <c r="J241" s="17"/>
      <c r="K241" s="17"/>
      <c r="L241" s="17"/>
      <c r="M241" s="17"/>
      <c r="N241" s="17"/>
      <c r="O241" s="17"/>
      <c r="P241" s="17"/>
      <c r="Q241" s="17"/>
    </row>
    <row r="242" spans="10:17" x14ac:dyDescent="0.35">
      <c r="J242" s="17"/>
      <c r="K242" s="17"/>
      <c r="L242" s="17"/>
      <c r="M242" s="17"/>
      <c r="N242" s="17"/>
      <c r="O242" s="17"/>
      <c r="P242" s="17"/>
      <c r="Q242" s="17"/>
    </row>
    <row r="243" spans="10:17" x14ac:dyDescent="0.35">
      <c r="J243" s="17"/>
      <c r="K243" s="17"/>
      <c r="L243" s="17"/>
      <c r="M243" s="17"/>
      <c r="N243" s="17"/>
      <c r="O243" s="17"/>
      <c r="P243" s="17"/>
      <c r="Q243" s="17"/>
    </row>
    <row r="244" spans="10:17" x14ac:dyDescent="0.35">
      <c r="J244" s="17"/>
      <c r="K244" s="17"/>
      <c r="L244" s="17"/>
      <c r="M244" s="17"/>
      <c r="N244" s="17"/>
      <c r="O244" s="17"/>
      <c r="P244" s="17"/>
      <c r="Q244" s="17"/>
    </row>
    <row r="245" spans="10:17" x14ac:dyDescent="0.35">
      <c r="J245" s="17"/>
      <c r="K245" s="17"/>
      <c r="L245" s="17"/>
      <c r="M245" s="17"/>
      <c r="N245" s="17"/>
      <c r="O245" s="17"/>
      <c r="P245" s="17"/>
      <c r="Q245" s="17"/>
    </row>
    <row r="246" spans="10:17" x14ac:dyDescent="0.35">
      <c r="J246" s="17"/>
      <c r="K246" s="17"/>
      <c r="L246" s="17"/>
      <c r="M246" s="17"/>
      <c r="N246" s="17"/>
      <c r="O246" s="17"/>
      <c r="P246" s="17"/>
      <c r="Q246" s="17"/>
    </row>
    <row r="247" spans="10:17" x14ac:dyDescent="0.35">
      <c r="J247" s="17"/>
      <c r="K247" s="17"/>
      <c r="L247" s="17"/>
      <c r="M247" s="17"/>
      <c r="N247" s="17"/>
      <c r="O247" s="17"/>
      <c r="P247" s="17"/>
      <c r="Q247" s="17"/>
    </row>
    <row r="248" spans="10:17" x14ac:dyDescent="0.35">
      <c r="J248" s="17"/>
      <c r="K248" s="17"/>
      <c r="L248" s="17"/>
      <c r="M248" s="17"/>
      <c r="N248" s="17"/>
      <c r="O248" s="17"/>
      <c r="P248" s="17"/>
      <c r="Q248" s="17"/>
    </row>
    <row r="249" spans="10:17" x14ac:dyDescent="0.35">
      <c r="J249" s="17"/>
      <c r="K249" s="17"/>
      <c r="L249" s="17"/>
      <c r="M249" s="17"/>
      <c r="N249" s="17"/>
      <c r="O249" s="17"/>
      <c r="P249" s="17"/>
      <c r="Q249" s="17"/>
    </row>
    <row r="250" spans="10:17" x14ac:dyDescent="0.35">
      <c r="J250" s="17"/>
      <c r="K250" s="17"/>
      <c r="L250" s="17"/>
      <c r="M250" s="17"/>
      <c r="N250" s="17"/>
      <c r="O250" s="17"/>
      <c r="P250" s="17"/>
      <c r="Q250" s="17"/>
    </row>
    <row r="251" spans="10:17" x14ac:dyDescent="0.35">
      <c r="J251" s="17"/>
      <c r="K251" s="17"/>
      <c r="L251" s="17"/>
      <c r="M251" s="17"/>
      <c r="N251" s="17"/>
      <c r="O251" s="17"/>
      <c r="P251" s="17"/>
      <c r="Q251" s="17"/>
    </row>
    <row r="252" spans="10:17" x14ac:dyDescent="0.35">
      <c r="J252" s="17"/>
      <c r="K252" s="17"/>
      <c r="L252" s="17"/>
      <c r="M252" s="17"/>
      <c r="N252" s="17"/>
      <c r="O252" s="17"/>
      <c r="P252" s="17"/>
      <c r="Q252" s="17"/>
    </row>
    <row r="253" spans="10:17" x14ac:dyDescent="0.35">
      <c r="J253" s="17"/>
      <c r="K253" s="17"/>
      <c r="L253" s="17"/>
      <c r="M253" s="17"/>
      <c r="N253" s="17"/>
      <c r="O253" s="17"/>
      <c r="P253" s="17"/>
      <c r="Q253" s="17"/>
    </row>
    <row r="254" spans="10:17" x14ac:dyDescent="0.35">
      <c r="J254" s="17"/>
      <c r="K254" s="17"/>
      <c r="L254" s="17"/>
      <c r="M254" s="17"/>
      <c r="N254" s="17"/>
      <c r="O254" s="17"/>
      <c r="P254" s="17"/>
      <c r="Q254" s="17"/>
    </row>
    <row r="255" spans="10:17" x14ac:dyDescent="0.35">
      <c r="J255" s="17"/>
      <c r="K255" s="17"/>
      <c r="L255" s="17"/>
      <c r="M255" s="17"/>
      <c r="N255" s="17"/>
      <c r="O255" s="17"/>
      <c r="P255" s="17"/>
      <c r="Q255" s="17"/>
    </row>
    <row r="256" spans="10:17" x14ac:dyDescent="0.35">
      <c r="J256" s="17"/>
      <c r="K256" s="17"/>
      <c r="L256" s="17"/>
      <c r="M256" s="17"/>
      <c r="N256" s="17"/>
      <c r="O256" s="17"/>
      <c r="P256" s="17"/>
      <c r="Q256" s="17"/>
    </row>
    <row r="257" spans="10:17" x14ac:dyDescent="0.35">
      <c r="J257" s="17"/>
      <c r="K257" s="17"/>
      <c r="L257" s="17"/>
      <c r="M257" s="17"/>
      <c r="N257" s="17"/>
      <c r="O257" s="17"/>
      <c r="P257" s="17"/>
      <c r="Q257" s="17"/>
    </row>
    <row r="258" spans="10:17" x14ac:dyDescent="0.35">
      <c r="J258" s="17"/>
      <c r="K258" s="17"/>
      <c r="L258" s="17"/>
      <c r="M258" s="17"/>
      <c r="N258" s="17"/>
      <c r="O258" s="17"/>
      <c r="P258" s="17"/>
      <c r="Q258" s="17"/>
    </row>
    <row r="259" spans="10:17" x14ac:dyDescent="0.35">
      <c r="J259" s="17"/>
      <c r="K259" s="17"/>
      <c r="L259" s="17"/>
      <c r="M259" s="17"/>
      <c r="N259" s="17"/>
      <c r="O259" s="17"/>
      <c r="P259" s="17"/>
      <c r="Q259" s="17"/>
    </row>
    <row r="260" spans="10:17" x14ac:dyDescent="0.35">
      <c r="J260" s="17"/>
      <c r="K260" s="17"/>
      <c r="L260" s="17"/>
      <c r="M260" s="17"/>
      <c r="N260" s="17"/>
      <c r="O260" s="17"/>
      <c r="P260" s="17"/>
      <c r="Q260" s="17"/>
    </row>
    <row r="261" spans="10:17" x14ac:dyDescent="0.35">
      <c r="J261" s="17"/>
      <c r="K261" s="17"/>
      <c r="L261" s="17"/>
      <c r="M261" s="17"/>
      <c r="N261" s="17"/>
      <c r="O261" s="17"/>
      <c r="P261" s="17"/>
      <c r="Q261" s="17"/>
    </row>
    <row r="262" spans="10:17" x14ac:dyDescent="0.35">
      <c r="J262" s="17"/>
      <c r="K262" s="17"/>
      <c r="L262" s="17"/>
      <c r="M262" s="17"/>
      <c r="N262" s="17"/>
      <c r="O262" s="17"/>
      <c r="P262" s="17"/>
      <c r="Q262" s="17"/>
    </row>
    <row r="263" spans="10:17" x14ac:dyDescent="0.35">
      <c r="J263" s="17"/>
      <c r="K263" s="17"/>
      <c r="L263" s="17"/>
      <c r="M263" s="17"/>
      <c r="N263" s="17"/>
      <c r="O263" s="17"/>
      <c r="P263" s="17"/>
      <c r="Q263" s="17"/>
    </row>
    <row r="264" spans="10:17" x14ac:dyDescent="0.35">
      <c r="J264" s="17"/>
      <c r="K264" s="17"/>
      <c r="L264" s="17"/>
      <c r="M264" s="17"/>
      <c r="N264" s="17"/>
      <c r="O264" s="17"/>
      <c r="P264" s="17"/>
      <c r="Q264" s="17"/>
    </row>
    <row r="265" spans="10:17" x14ac:dyDescent="0.35">
      <c r="J265" s="17"/>
      <c r="K265" s="17"/>
      <c r="L265" s="17"/>
      <c r="M265" s="17"/>
      <c r="N265" s="17"/>
      <c r="O265" s="17"/>
      <c r="P265" s="17"/>
      <c r="Q265" s="17"/>
    </row>
    <row r="266" spans="10:17" x14ac:dyDescent="0.35">
      <c r="J266" s="17"/>
      <c r="K266" s="17"/>
      <c r="L266" s="17"/>
      <c r="M266" s="17"/>
      <c r="N266" s="17"/>
      <c r="O266" s="17"/>
      <c r="P266" s="17"/>
      <c r="Q266" s="17"/>
    </row>
    <row r="267" spans="10:17" x14ac:dyDescent="0.35">
      <c r="J267" s="17"/>
      <c r="K267" s="17"/>
      <c r="L267" s="17"/>
      <c r="M267" s="17"/>
      <c r="N267" s="17"/>
      <c r="O267" s="17"/>
      <c r="P267" s="17"/>
      <c r="Q267" s="17"/>
    </row>
    <row r="268" spans="10:17" x14ac:dyDescent="0.35">
      <c r="J268" s="17"/>
      <c r="K268" s="17"/>
      <c r="L268" s="17"/>
      <c r="M268" s="17"/>
      <c r="N268" s="17"/>
      <c r="O268" s="17"/>
      <c r="P268" s="17"/>
      <c r="Q268" s="17"/>
    </row>
    <row r="269" spans="10:17" x14ac:dyDescent="0.35">
      <c r="J269" s="17"/>
      <c r="K269" s="17"/>
      <c r="L269" s="17"/>
      <c r="M269" s="17"/>
      <c r="N269" s="17"/>
      <c r="O269" s="17"/>
      <c r="P269" s="17"/>
      <c r="Q269" s="17"/>
    </row>
    <row r="270" spans="10:17" x14ac:dyDescent="0.35">
      <c r="J270" s="17"/>
      <c r="K270" s="17"/>
      <c r="L270" s="17"/>
      <c r="M270" s="17"/>
      <c r="N270" s="17"/>
      <c r="O270" s="17"/>
      <c r="P270" s="17"/>
      <c r="Q270" s="17"/>
    </row>
    <row r="271" spans="10:17" x14ac:dyDescent="0.35">
      <c r="J271" s="17"/>
      <c r="K271" s="17"/>
      <c r="L271" s="17"/>
      <c r="M271" s="17"/>
      <c r="N271" s="17"/>
      <c r="O271" s="17"/>
      <c r="P271" s="17"/>
      <c r="Q271" s="17"/>
    </row>
    <row r="272" spans="10:17" x14ac:dyDescent="0.35">
      <c r="J272" s="17"/>
      <c r="K272" s="17"/>
      <c r="L272" s="17"/>
      <c r="M272" s="17"/>
      <c r="N272" s="17"/>
      <c r="O272" s="17"/>
      <c r="P272" s="17"/>
      <c r="Q272" s="17"/>
    </row>
    <row r="273" spans="10:17" x14ac:dyDescent="0.35">
      <c r="J273" s="17"/>
      <c r="K273" s="17"/>
      <c r="L273" s="17"/>
      <c r="M273" s="17"/>
      <c r="N273" s="17"/>
      <c r="O273" s="17"/>
      <c r="P273" s="17"/>
      <c r="Q273" s="17"/>
    </row>
    <row r="274" spans="10:17" x14ac:dyDescent="0.35">
      <c r="J274" s="17"/>
      <c r="K274" s="17"/>
      <c r="L274" s="17"/>
      <c r="M274" s="17"/>
      <c r="N274" s="17"/>
      <c r="O274" s="17"/>
      <c r="P274" s="17"/>
      <c r="Q274" s="17"/>
    </row>
    <row r="275" spans="10:17" x14ac:dyDescent="0.35">
      <c r="J275" s="17"/>
      <c r="K275" s="17"/>
      <c r="L275" s="17"/>
      <c r="M275" s="17"/>
      <c r="N275" s="17"/>
      <c r="O275" s="17"/>
      <c r="P275" s="17"/>
      <c r="Q275" s="17"/>
    </row>
    <row r="276" spans="10:17" x14ac:dyDescent="0.35">
      <c r="J276" s="17"/>
      <c r="K276" s="17"/>
      <c r="L276" s="17"/>
      <c r="M276" s="17"/>
      <c r="N276" s="17"/>
      <c r="O276" s="17"/>
      <c r="P276" s="17"/>
      <c r="Q276" s="17"/>
    </row>
    <row r="277" spans="10:17" x14ac:dyDescent="0.35">
      <c r="J277" s="17"/>
      <c r="K277" s="17"/>
      <c r="L277" s="17"/>
      <c r="M277" s="17"/>
      <c r="N277" s="17"/>
      <c r="O277" s="17"/>
      <c r="P277" s="17"/>
      <c r="Q277" s="17"/>
    </row>
    <row r="278" spans="10:17" x14ac:dyDescent="0.35">
      <c r="J278" s="17"/>
      <c r="K278" s="17"/>
      <c r="L278" s="17"/>
      <c r="M278" s="17"/>
      <c r="N278" s="17"/>
      <c r="O278" s="17"/>
      <c r="P278" s="17"/>
      <c r="Q278" s="17"/>
    </row>
    <row r="279" spans="10:17" x14ac:dyDescent="0.35">
      <c r="J279" s="17"/>
      <c r="K279" s="17"/>
      <c r="L279" s="17"/>
      <c r="M279" s="17"/>
      <c r="N279" s="17"/>
      <c r="O279" s="17"/>
      <c r="P279" s="17"/>
      <c r="Q279" s="17"/>
    </row>
    <row r="280" spans="10:17" x14ac:dyDescent="0.35">
      <c r="J280" s="17"/>
      <c r="K280" s="17"/>
      <c r="L280" s="17"/>
      <c r="M280" s="17"/>
      <c r="N280" s="17"/>
      <c r="O280" s="17"/>
      <c r="P280" s="17"/>
      <c r="Q280" s="17"/>
    </row>
    <row r="281" spans="10:17" x14ac:dyDescent="0.35">
      <c r="J281" s="17"/>
      <c r="K281" s="17"/>
      <c r="L281" s="17"/>
      <c r="M281" s="17"/>
      <c r="N281" s="17"/>
      <c r="O281" s="17"/>
      <c r="P281" s="17"/>
      <c r="Q281" s="17"/>
    </row>
    <row r="282" spans="10:17" x14ac:dyDescent="0.35">
      <c r="J282" s="17"/>
      <c r="K282" s="17"/>
      <c r="L282" s="17"/>
      <c r="M282" s="17"/>
      <c r="N282" s="17"/>
      <c r="O282" s="17"/>
      <c r="P282" s="17"/>
      <c r="Q282" s="17"/>
    </row>
    <row r="283" spans="10:17" x14ac:dyDescent="0.35">
      <c r="J283" s="17"/>
      <c r="K283" s="17"/>
      <c r="L283" s="17"/>
      <c r="M283" s="17"/>
      <c r="N283" s="17"/>
      <c r="O283" s="17"/>
      <c r="P283" s="17"/>
      <c r="Q283" s="17"/>
    </row>
    <row r="284" spans="10:17" x14ac:dyDescent="0.35">
      <c r="J284" s="17"/>
      <c r="K284" s="17"/>
      <c r="L284" s="17"/>
      <c r="M284" s="17"/>
      <c r="N284" s="17"/>
      <c r="O284" s="17"/>
      <c r="P284" s="17"/>
      <c r="Q284" s="17"/>
    </row>
    <row r="285" spans="10:17" x14ac:dyDescent="0.35">
      <c r="J285" s="17"/>
      <c r="K285" s="17"/>
      <c r="L285" s="17"/>
      <c r="M285" s="17"/>
      <c r="N285" s="17"/>
      <c r="O285" s="17"/>
      <c r="P285" s="17"/>
      <c r="Q285" s="17"/>
    </row>
    <row r="286" spans="10:17" x14ac:dyDescent="0.35">
      <c r="J286" s="17"/>
      <c r="K286" s="17"/>
      <c r="L286" s="17"/>
      <c r="M286" s="17"/>
      <c r="N286" s="17"/>
      <c r="O286" s="17"/>
      <c r="P286" s="17"/>
      <c r="Q286" s="17"/>
    </row>
    <row r="287" spans="10:17" x14ac:dyDescent="0.35">
      <c r="J287" s="17"/>
      <c r="K287" s="17"/>
      <c r="L287" s="17"/>
      <c r="M287" s="17"/>
      <c r="N287" s="17"/>
      <c r="O287" s="17"/>
      <c r="P287" s="17"/>
      <c r="Q287" s="17"/>
    </row>
    <row r="288" spans="10:17" x14ac:dyDescent="0.35">
      <c r="J288" s="17"/>
      <c r="K288" s="17"/>
      <c r="L288" s="17"/>
      <c r="M288" s="17"/>
      <c r="N288" s="17"/>
      <c r="O288" s="17"/>
      <c r="P288" s="17"/>
      <c r="Q288" s="17"/>
    </row>
    <row r="289" spans="10:17" x14ac:dyDescent="0.35">
      <c r="J289" s="17"/>
      <c r="K289" s="17"/>
      <c r="L289" s="17"/>
      <c r="M289" s="17"/>
      <c r="N289" s="17"/>
      <c r="O289" s="17"/>
      <c r="P289" s="17"/>
      <c r="Q289" s="17"/>
    </row>
    <row r="290" spans="10:17" x14ac:dyDescent="0.35">
      <c r="J290" s="17"/>
      <c r="K290" s="17"/>
      <c r="L290" s="17"/>
      <c r="M290" s="17"/>
      <c r="N290" s="17"/>
      <c r="O290" s="17"/>
      <c r="P290" s="17"/>
      <c r="Q290" s="17"/>
    </row>
    <row r="291" spans="10:17" x14ac:dyDescent="0.35">
      <c r="J291" s="17"/>
      <c r="K291" s="17"/>
      <c r="L291" s="17"/>
      <c r="M291" s="17"/>
      <c r="N291" s="17"/>
      <c r="O291" s="17"/>
      <c r="P291" s="17"/>
      <c r="Q291" s="17"/>
    </row>
    <row r="292" spans="10:17" x14ac:dyDescent="0.35">
      <c r="J292" s="17"/>
      <c r="K292" s="17"/>
      <c r="L292" s="17"/>
      <c r="M292" s="17"/>
      <c r="N292" s="17"/>
      <c r="O292" s="17"/>
      <c r="P292" s="17"/>
      <c r="Q292" s="17"/>
    </row>
    <row r="293" spans="10:17" x14ac:dyDescent="0.35">
      <c r="J293" s="17"/>
      <c r="K293" s="17"/>
      <c r="L293" s="17"/>
      <c r="M293" s="17"/>
      <c r="N293" s="17"/>
      <c r="O293" s="17"/>
      <c r="P293" s="17"/>
      <c r="Q293" s="17"/>
    </row>
    <row r="294" spans="10:17" x14ac:dyDescent="0.35">
      <c r="J294" s="17"/>
      <c r="K294" s="17"/>
      <c r="L294" s="17"/>
      <c r="M294" s="17"/>
      <c r="N294" s="17"/>
      <c r="O294" s="17"/>
      <c r="P294" s="17"/>
      <c r="Q294" s="17"/>
    </row>
    <row r="295" spans="10:17" x14ac:dyDescent="0.35">
      <c r="J295" s="17"/>
      <c r="K295" s="17"/>
      <c r="L295" s="17"/>
      <c r="M295" s="17"/>
      <c r="N295" s="17"/>
      <c r="O295" s="17"/>
      <c r="P295" s="17"/>
      <c r="Q295" s="17"/>
    </row>
    <row r="296" spans="10:17" x14ac:dyDescent="0.35">
      <c r="J296" s="17"/>
      <c r="K296" s="17"/>
      <c r="L296" s="17"/>
      <c r="M296" s="17"/>
      <c r="N296" s="17"/>
      <c r="O296" s="17"/>
      <c r="P296" s="17"/>
      <c r="Q296" s="17"/>
    </row>
    <row r="297" spans="10:17" x14ac:dyDescent="0.35">
      <c r="J297" s="17"/>
      <c r="K297" s="17"/>
      <c r="L297" s="17"/>
      <c r="M297" s="17"/>
      <c r="N297" s="17"/>
      <c r="O297" s="17"/>
      <c r="P297" s="17"/>
      <c r="Q297" s="17"/>
    </row>
    <row r="298" spans="10:17" x14ac:dyDescent="0.35">
      <c r="J298" s="17"/>
      <c r="K298" s="17"/>
      <c r="L298" s="17"/>
      <c r="M298" s="17"/>
      <c r="N298" s="17"/>
      <c r="O298" s="17"/>
      <c r="P298" s="17"/>
      <c r="Q298" s="17"/>
    </row>
    <row r="299" spans="10:17" x14ac:dyDescent="0.35">
      <c r="J299" s="17"/>
      <c r="K299" s="17"/>
      <c r="L299" s="17"/>
      <c r="M299" s="17"/>
      <c r="N299" s="17"/>
      <c r="O299" s="17"/>
      <c r="P299" s="17"/>
      <c r="Q299" s="17"/>
    </row>
    <row r="300" spans="10:17" x14ac:dyDescent="0.35">
      <c r="J300" s="17"/>
      <c r="K300" s="17"/>
      <c r="L300" s="17"/>
      <c r="M300" s="17"/>
      <c r="N300" s="17"/>
      <c r="O300" s="17"/>
      <c r="P300" s="17"/>
      <c r="Q300" s="17"/>
    </row>
    <row r="301" spans="10:17" x14ac:dyDescent="0.35">
      <c r="J301" s="17"/>
      <c r="K301" s="17"/>
      <c r="L301" s="17"/>
      <c r="M301" s="17"/>
      <c r="N301" s="17"/>
      <c r="O301" s="17"/>
      <c r="P301" s="17"/>
      <c r="Q301" s="17"/>
    </row>
    <row r="302" spans="10:17" x14ac:dyDescent="0.35">
      <c r="J302" s="17"/>
      <c r="K302" s="17"/>
      <c r="L302" s="17"/>
      <c r="M302" s="17"/>
      <c r="N302" s="17"/>
      <c r="O302" s="17"/>
      <c r="P302" s="17"/>
      <c r="Q302" s="17"/>
    </row>
    <row r="303" spans="10:17" x14ac:dyDescent="0.35">
      <c r="J303" s="17"/>
      <c r="K303" s="17"/>
      <c r="L303" s="17"/>
      <c r="M303" s="17"/>
      <c r="N303" s="17"/>
      <c r="O303" s="17"/>
      <c r="P303" s="17"/>
      <c r="Q303" s="17"/>
    </row>
    <row r="304" spans="10:17" x14ac:dyDescent="0.35">
      <c r="J304" s="17"/>
      <c r="K304" s="17"/>
      <c r="L304" s="17"/>
      <c r="M304" s="17"/>
      <c r="N304" s="17"/>
      <c r="O304" s="17"/>
      <c r="P304" s="17"/>
      <c r="Q304" s="17"/>
    </row>
    <row r="305" spans="10:17" x14ac:dyDescent="0.35">
      <c r="J305" s="17"/>
      <c r="K305" s="17"/>
      <c r="L305" s="17"/>
      <c r="M305" s="17"/>
      <c r="N305" s="17"/>
      <c r="O305" s="17"/>
      <c r="P305" s="17"/>
      <c r="Q305" s="17"/>
    </row>
    <row r="306" spans="10:17" x14ac:dyDescent="0.35">
      <c r="J306" s="17"/>
      <c r="K306" s="17"/>
      <c r="L306" s="17"/>
      <c r="M306" s="17"/>
      <c r="N306" s="17"/>
      <c r="O306" s="17"/>
      <c r="P306" s="17"/>
      <c r="Q306" s="17"/>
    </row>
    <row r="307" spans="10:17" x14ac:dyDescent="0.35">
      <c r="J307" s="17"/>
      <c r="K307" s="17"/>
      <c r="L307" s="17"/>
      <c r="M307" s="17"/>
      <c r="N307" s="17"/>
      <c r="O307" s="17"/>
      <c r="P307" s="17"/>
      <c r="Q307" s="17"/>
    </row>
    <row r="308" spans="10:17" x14ac:dyDescent="0.35">
      <c r="J308" s="17"/>
      <c r="K308" s="17"/>
      <c r="L308" s="17"/>
      <c r="M308" s="17"/>
      <c r="N308" s="17"/>
      <c r="O308" s="17"/>
      <c r="P308" s="17"/>
      <c r="Q308" s="17"/>
    </row>
    <row r="309" spans="10:17" x14ac:dyDescent="0.35">
      <c r="J309" s="17"/>
      <c r="K309" s="17"/>
      <c r="L309" s="17"/>
      <c r="M309" s="17"/>
      <c r="N309" s="17"/>
      <c r="O309" s="17"/>
      <c r="P309" s="17"/>
      <c r="Q309" s="17"/>
    </row>
    <row r="310" spans="10:17" x14ac:dyDescent="0.35">
      <c r="J310" s="17"/>
      <c r="K310" s="17"/>
      <c r="L310" s="17"/>
      <c r="M310" s="17"/>
      <c r="N310" s="17"/>
      <c r="O310" s="17"/>
      <c r="P310" s="17"/>
      <c r="Q310" s="17"/>
    </row>
    <row r="311" spans="10:17" x14ac:dyDescent="0.35">
      <c r="J311" s="17"/>
      <c r="K311" s="17"/>
      <c r="L311" s="17"/>
      <c r="M311" s="17"/>
      <c r="N311" s="17"/>
      <c r="O311" s="17"/>
      <c r="P311" s="17"/>
      <c r="Q311" s="17"/>
    </row>
    <row r="312" spans="10:17" x14ac:dyDescent="0.35">
      <c r="J312" s="17"/>
      <c r="K312" s="17"/>
      <c r="L312" s="17"/>
      <c r="M312" s="17"/>
      <c r="N312" s="17"/>
      <c r="O312" s="17"/>
      <c r="P312" s="17"/>
      <c r="Q312" s="17"/>
    </row>
    <row r="313" spans="10:17" x14ac:dyDescent="0.35">
      <c r="J313" s="17"/>
      <c r="K313" s="17"/>
      <c r="L313" s="17"/>
      <c r="M313" s="17"/>
      <c r="N313" s="17"/>
      <c r="O313" s="17"/>
      <c r="P313" s="17"/>
      <c r="Q313" s="17"/>
    </row>
    <row r="314" spans="10:17" x14ac:dyDescent="0.35">
      <c r="J314" s="17"/>
      <c r="K314" s="17"/>
      <c r="L314" s="17"/>
      <c r="M314" s="17"/>
      <c r="N314" s="17"/>
      <c r="O314" s="17"/>
      <c r="P314" s="17"/>
      <c r="Q314" s="17"/>
    </row>
    <row r="315" spans="10:17" x14ac:dyDescent="0.35">
      <c r="J315" s="17"/>
      <c r="K315" s="17"/>
      <c r="L315" s="17"/>
      <c r="M315" s="17"/>
      <c r="N315" s="17"/>
      <c r="O315" s="17"/>
      <c r="P315" s="17"/>
      <c r="Q315" s="17"/>
    </row>
    <row r="316" spans="10:17" x14ac:dyDescent="0.35">
      <c r="J316" s="17"/>
      <c r="K316" s="17"/>
      <c r="L316" s="17"/>
      <c r="M316" s="17"/>
      <c r="N316" s="17"/>
      <c r="O316" s="17"/>
      <c r="P316" s="17"/>
      <c r="Q316" s="17"/>
    </row>
    <row r="317" spans="10:17" x14ac:dyDescent="0.35">
      <c r="J317" s="17"/>
      <c r="K317" s="17"/>
      <c r="L317" s="17"/>
      <c r="M317" s="17"/>
      <c r="N317" s="17"/>
      <c r="O317" s="17"/>
      <c r="P317" s="17"/>
      <c r="Q317" s="17"/>
    </row>
    <row r="318" spans="10:17" x14ac:dyDescent="0.35">
      <c r="J318" s="17"/>
      <c r="K318" s="17"/>
      <c r="L318" s="17"/>
      <c r="M318" s="17"/>
      <c r="N318" s="17"/>
      <c r="O318" s="17"/>
      <c r="P318" s="17"/>
      <c r="Q318" s="17"/>
    </row>
    <row r="319" spans="10:17" x14ac:dyDescent="0.35">
      <c r="J319" s="17"/>
      <c r="K319" s="17"/>
      <c r="L319" s="17"/>
      <c r="M319" s="17"/>
      <c r="N319" s="17"/>
      <c r="O319" s="17"/>
      <c r="P319" s="17"/>
      <c r="Q319" s="17"/>
    </row>
    <row r="320" spans="10:17" x14ac:dyDescent="0.35">
      <c r="J320" s="17"/>
      <c r="K320" s="17"/>
      <c r="L320" s="17"/>
      <c r="M320" s="17"/>
      <c r="N320" s="17"/>
      <c r="O320" s="17"/>
      <c r="P320" s="17"/>
      <c r="Q320" s="17"/>
    </row>
    <row r="321" spans="10:17" x14ac:dyDescent="0.35">
      <c r="J321" s="17"/>
      <c r="K321" s="17"/>
      <c r="L321" s="17"/>
      <c r="M321" s="17"/>
      <c r="N321" s="17"/>
      <c r="O321" s="17"/>
      <c r="P321" s="17"/>
      <c r="Q321" s="17"/>
    </row>
    <row r="322" spans="10:17" x14ac:dyDescent="0.35">
      <c r="J322" s="17"/>
      <c r="K322" s="17"/>
      <c r="L322" s="17"/>
      <c r="M322" s="17"/>
      <c r="N322" s="17"/>
      <c r="O322" s="17"/>
      <c r="P322" s="17"/>
      <c r="Q322" s="17"/>
    </row>
    <row r="323" spans="10:17" x14ac:dyDescent="0.35">
      <c r="J323" s="17"/>
      <c r="K323" s="17"/>
      <c r="L323" s="17"/>
      <c r="M323" s="17"/>
      <c r="N323" s="17"/>
      <c r="O323" s="17"/>
      <c r="P323" s="17"/>
      <c r="Q323" s="17"/>
    </row>
    <row r="324" spans="10:17" x14ac:dyDescent="0.35">
      <c r="J324" s="17"/>
      <c r="K324" s="17"/>
      <c r="L324" s="17"/>
      <c r="M324" s="17"/>
      <c r="N324" s="17"/>
      <c r="O324" s="17"/>
      <c r="P324" s="17"/>
      <c r="Q324" s="17"/>
    </row>
    <row r="325" spans="10:17" x14ac:dyDescent="0.35">
      <c r="J325" s="17"/>
      <c r="K325" s="17"/>
      <c r="L325" s="17"/>
      <c r="M325" s="17"/>
      <c r="N325" s="17"/>
      <c r="O325" s="17"/>
      <c r="P325" s="17"/>
      <c r="Q325" s="17"/>
    </row>
    <row r="326" spans="10:17" x14ac:dyDescent="0.35">
      <c r="J326" s="17"/>
      <c r="K326" s="17"/>
      <c r="L326" s="17"/>
      <c r="M326" s="17"/>
      <c r="N326" s="17"/>
      <c r="O326" s="17"/>
      <c r="P326" s="17"/>
      <c r="Q326" s="17"/>
    </row>
    <row r="327" spans="10:17" x14ac:dyDescent="0.35">
      <c r="J327" s="17"/>
      <c r="K327" s="17"/>
      <c r="L327" s="17"/>
      <c r="M327" s="17"/>
      <c r="N327" s="17"/>
      <c r="O327" s="17"/>
      <c r="P327" s="17"/>
      <c r="Q327" s="17"/>
    </row>
    <row r="328" spans="10:17" x14ac:dyDescent="0.35">
      <c r="J328" s="17"/>
      <c r="K328" s="17"/>
      <c r="L328" s="17"/>
      <c r="M328" s="17"/>
      <c r="N328" s="17"/>
      <c r="O328" s="17"/>
      <c r="P328" s="17"/>
      <c r="Q328" s="17"/>
    </row>
    <row r="329" spans="10:17" x14ac:dyDescent="0.35">
      <c r="J329" s="17"/>
      <c r="K329" s="17"/>
      <c r="L329" s="17"/>
      <c r="M329" s="17"/>
      <c r="N329" s="17"/>
      <c r="O329" s="17"/>
      <c r="P329" s="17"/>
      <c r="Q329" s="17"/>
    </row>
    <row r="330" spans="10:17" x14ac:dyDescent="0.35">
      <c r="J330" s="17"/>
      <c r="K330" s="17"/>
      <c r="L330" s="17"/>
      <c r="M330" s="17"/>
      <c r="N330" s="17"/>
      <c r="O330" s="17"/>
      <c r="P330" s="17"/>
      <c r="Q330" s="17"/>
    </row>
    <row r="331" spans="10:17" x14ac:dyDescent="0.35">
      <c r="J331" s="17"/>
      <c r="K331" s="17"/>
      <c r="L331" s="17"/>
      <c r="M331" s="17"/>
      <c r="N331" s="17"/>
      <c r="O331" s="17"/>
      <c r="P331" s="17"/>
      <c r="Q331" s="17"/>
    </row>
    <row r="332" spans="10:17" x14ac:dyDescent="0.35">
      <c r="J332" s="17"/>
      <c r="K332" s="17"/>
      <c r="L332" s="17"/>
      <c r="M332" s="17"/>
      <c r="N332" s="17"/>
      <c r="O332" s="17"/>
      <c r="P332" s="17"/>
      <c r="Q332" s="17"/>
    </row>
    <row r="333" spans="10:17" x14ac:dyDescent="0.35">
      <c r="J333" s="17"/>
      <c r="K333" s="17"/>
      <c r="L333" s="17"/>
      <c r="M333" s="17"/>
      <c r="N333" s="17"/>
      <c r="O333" s="17"/>
      <c r="P333" s="17"/>
      <c r="Q333" s="17"/>
    </row>
    <row r="334" spans="10:17" x14ac:dyDescent="0.35">
      <c r="J334" s="17"/>
      <c r="K334" s="17"/>
      <c r="L334" s="17"/>
      <c r="M334" s="17"/>
      <c r="N334" s="17"/>
      <c r="O334" s="17"/>
      <c r="P334" s="17"/>
      <c r="Q334" s="17"/>
    </row>
    <row r="335" spans="10:17" x14ac:dyDescent="0.35">
      <c r="J335" s="17"/>
      <c r="K335" s="17"/>
      <c r="L335" s="17"/>
      <c r="M335" s="17"/>
      <c r="N335" s="17"/>
      <c r="O335" s="17"/>
      <c r="P335" s="17"/>
      <c r="Q335" s="17"/>
    </row>
    <row r="336" spans="10:17" x14ac:dyDescent="0.35">
      <c r="J336" s="17"/>
      <c r="K336" s="17"/>
      <c r="L336" s="17"/>
      <c r="M336" s="17"/>
      <c r="N336" s="17"/>
      <c r="O336" s="17"/>
      <c r="P336" s="17"/>
      <c r="Q336" s="17"/>
    </row>
    <row r="337" spans="10:17" x14ac:dyDescent="0.35">
      <c r="J337" s="17"/>
      <c r="K337" s="17"/>
      <c r="L337" s="17"/>
      <c r="M337" s="17"/>
      <c r="N337" s="17"/>
      <c r="O337" s="17"/>
      <c r="P337" s="17"/>
      <c r="Q337" s="17"/>
    </row>
    <row r="338" spans="10:17" x14ac:dyDescent="0.35">
      <c r="J338" s="17"/>
      <c r="K338" s="17"/>
      <c r="L338" s="17"/>
      <c r="M338" s="17"/>
      <c r="N338" s="17"/>
      <c r="O338" s="17"/>
      <c r="P338" s="17"/>
      <c r="Q338" s="17"/>
    </row>
    <row r="339" spans="10:17" x14ac:dyDescent="0.35">
      <c r="J339" s="17"/>
      <c r="K339" s="17"/>
      <c r="L339" s="17"/>
      <c r="M339" s="17"/>
      <c r="N339" s="17"/>
      <c r="O339" s="17"/>
      <c r="P339" s="17"/>
      <c r="Q339" s="17"/>
    </row>
    <row r="340" spans="10:17" x14ac:dyDescent="0.35">
      <c r="J340" s="17"/>
      <c r="K340" s="17"/>
      <c r="L340" s="17"/>
      <c r="M340" s="17"/>
      <c r="N340" s="17"/>
      <c r="O340" s="17"/>
      <c r="P340" s="17"/>
      <c r="Q340" s="17"/>
    </row>
    <row r="341" spans="10:17" x14ac:dyDescent="0.35">
      <c r="J341" s="17"/>
      <c r="K341" s="17"/>
      <c r="L341" s="17"/>
      <c r="M341" s="17"/>
      <c r="N341" s="17"/>
      <c r="O341" s="17"/>
      <c r="P341" s="17"/>
      <c r="Q341" s="17"/>
    </row>
    <row r="342" spans="10:17" x14ac:dyDescent="0.35">
      <c r="J342" s="17"/>
      <c r="K342" s="17"/>
      <c r="L342" s="17"/>
      <c r="M342" s="17"/>
      <c r="N342" s="17"/>
      <c r="O342" s="17"/>
      <c r="P342" s="17"/>
      <c r="Q342" s="17"/>
    </row>
    <row r="343" spans="10:17" x14ac:dyDescent="0.35">
      <c r="J343" s="17"/>
      <c r="K343" s="17"/>
      <c r="L343" s="17"/>
      <c r="M343" s="17"/>
      <c r="N343" s="17"/>
      <c r="O343" s="17"/>
      <c r="P343" s="17"/>
      <c r="Q343" s="17"/>
    </row>
    <row r="344" spans="10:17" x14ac:dyDescent="0.35">
      <c r="J344" s="17"/>
      <c r="K344" s="17"/>
      <c r="L344" s="17"/>
      <c r="M344" s="17"/>
      <c r="N344" s="17"/>
      <c r="O344" s="17"/>
      <c r="P344" s="17"/>
      <c r="Q344" s="17"/>
    </row>
    <row r="345" spans="10:17" x14ac:dyDescent="0.35">
      <c r="J345" s="17"/>
      <c r="K345" s="17"/>
      <c r="L345" s="17"/>
      <c r="M345" s="17"/>
      <c r="N345" s="17"/>
      <c r="O345" s="17"/>
      <c r="P345" s="17"/>
      <c r="Q345" s="17"/>
    </row>
    <row r="346" spans="10:17" x14ac:dyDescent="0.35">
      <c r="J346" s="17"/>
      <c r="K346" s="17"/>
      <c r="L346" s="17"/>
      <c r="M346" s="17"/>
      <c r="N346" s="17"/>
      <c r="O346" s="17"/>
      <c r="P346" s="17"/>
      <c r="Q346" s="17"/>
    </row>
    <row r="347" spans="10:17" x14ac:dyDescent="0.35">
      <c r="J347" s="17"/>
      <c r="K347" s="17"/>
      <c r="L347" s="17"/>
      <c r="M347" s="17"/>
      <c r="N347" s="17"/>
      <c r="O347" s="17"/>
      <c r="P347" s="17"/>
      <c r="Q347" s="17"/>
    </row>
    <row r="348" spans="10:17" x14ac:dyDescent="0.35">
      <c r="J348" s="17"/>
      <c r="K348" s="17"/>
      <c r="L348" s="17"/>
      <c r="M348" s="17"/>
      <c r="N348" s="17"/>
      <c r="O348" s="17"/>
      <c r="P348" s="17"/>
      <c r="Q348" s="17"/>
    </row>
    <row r="349" spans="10:17" x14ac:dyDescent="0.35">
      <c r="J349" s="17"/>
      <c r="K349" s="17"/>
      <c r="L349" s="17"/>
      <c r="M349" s="17"/>
      <c r="N349" s="17"/>
      <c r="O349" s="17"/>
      <c r="P349" s="17"/>
      <c r="Q349" s="17"/>
    </row>
    <row r="350" spans="10:17" x14ac:dyDescent="0.35">
      <c r="J350" s="17"/>
      <c r="K350" s="17"/>
      <c r="L350" s="17"/>
      <c r="M350" s="17"/>
      <c r="N350" s="17"/>
      <c r="O350" s="17"/>
      <c r="P350" s="17"/>
      <c r="Q350" s="17"/>
    </row>
    <row r="351" spans="10:17" x14ac:dyDescent="0.35">
      <c r="J351" s="17"/>
      <c r="K351" s="17"/>
      <c r="L351" s="17"/>
      <c r="M351" s="17"/>
      <c r="N351" s="17"/>
      <c r="O351" s="17"/>
      <c r="P351" s="17"/>
      <c r="Q351" s="17"/>
    </row>
    <row r="352" spans="10:17" x14ac:dyDescent="0.35">
      <c r="J352" s="17"/>
      <c r="K352" s="17"/>
      <c r="L352" s="17"/>
      <c r="M352" s="17"/>
      <c r="N352" s="17"/>
      <c r="O352" s="17"/>
      <c r="P352" s="17"/>
      <c r="Q352" s="17"/>
    </row>
    <row r="353" spans="10:17" x14ac:dyDescent="0.35">
      <c r="J353" s="17"/>
      <c r="K353" s="17"/>
      <c r="L353" s="17"/>
      <c r="M353" s="17"/>
      <c r="N353" s="17"/>
      <c r="O353" s="17"/>
      <c r="P353" s="17"/>
      <c r="Q353" s="17"/>
    </row>
    <row r="354" spans="10:17" x14ac:dyDescent="0.35">
      <c r="J354" s="17"/>
      <c r="K354" s="17"/>
      <c r="L354" s="17"/>
      <c r="M354" s="17"/>
      <c r="N354" s="17"/>
      <c r="O354" s="17"/>
      <c r="P354" s="17"/>
      <c r="Q354" s="17"/>
    </row>
    <row r="355" spans="10:17" x14ac:dyDescent="0.35">
      <c r="J355" s="17"/>
      <c r="K355" s="17"/>
      <c r="L355" s="17"/>
      <c r="M355" s="17"/>
      <c r="N355" s="17"/>
      <c r="O355" s="17"/>
      <c r="P355" s="17"/>
      <c r="Q355" s="17"/>
    </row>
    <row r="356" spans="10:17" x14ac:dyDescent="0.35">
      <c r="J356" s="17"/>
      <c r="K356" s="17"/>
      <c r="L356" s="17"/>
      <c r="M356" s="17"/>
      <c r="N356" s="17"/>
      <c r="O356" s="17"/>
      <c r="P356" s="17"/>
      <c r="Q356" s="17"/>
    </row>
    <row r="357" spans="10:17" x14ac:dyDescent="0.35">
      <c r="J357" s="17"/>
      <c r="K357" s="17"/>
      <c r="L357" s="17"/>
      <c r="M357" s="17"/>
      <c r="N357" s="17"/>
      <c r="O357" s="17"/>
      <c r="P357" s="17"/>
      <c r="Q357" s="17"/>
    </row>
    <row r="358" spans="10:17" x14ac:dyDescent="0.35">
      <c r="J358" s="17"/>
      <c r="K358" s="17"/>
      <c r="L358" s="17"/>
      <c r="M358" s="17"/>
      <c r="N358" s="17"/>
      <c r="O358" s="17"/>
      <c r="P358" s="17"/>
      <c r="Q358" s="17"/>
    </row>
    <row r="359" spans="10:17" x14ac:dyDescent="0.35">
      <c r="J359" s="17"/>
      <c r="K359" s="17"/>
      <c r="L359" s="17"/>
      <c r="M359" s="17"/>
      <c r="N359" s="17"/>
      <c r="O359" s="17"/>
      <c r="P359" s="17"/>
      <c r="Q359" s="17"/>
    </row>
    <row r="360" spans="10:17" x14ac:dyDescent="0.35">
      <c r="J360" s="17"/>
      <c r="K360" s="17"/>
      <c r="L360" s="17"/>
      <c r="M360" s="17"/>
      <c r="N360" s="17"/>
      <c r="O360" s="17"/>
      <c r="P360" s="17"/>
      <c r="Q360" s="17"/>
    </row>
    <row r="361" spans="10:17" x14ac:dyDescent="0.35">
      <c r="J361" s="17"/>
      <c r="K361" s="17"/>
      <c r="L361" s="17"/>
      <c r="M361" s="17"/>
      <c r="N361" s="17"/>
      <c r="O361" s="17"/>
      <c r="P361" s="17"/>
      <c r="Q361" s="17"/>
    </row>
    <row r="362" spans="10:17" x14ac:dyDescent="0.35">
      <c r="J362" s="17"/>
      <c r="K362" s="17"/>
      <c r="L362" s="17"/>
      <c r="M362" s="17"/>
      <c r="N362" s="17"/>
      <c r="O362" s="17"/>
      <c r="P362" s="17"/>
      <c r="Q362" s="17"/>
    </row>
    <row r="363" spans="10:17" x14ac:dyDescent="0.35">
      <c r="J363" s="17"/>
      <c r="K363" s="17"/>
      <c r="L363" s="17"/>
      <c r="M363" s="17"/>
      <c r="N363" s="17"/>
      <c r="O363" s="17"/>
      <c r="P363" s="17"/>
      <c r="Q363" s="17"/>
    </row>
    <row r="364" spans="10:17" x14ac:dyDescent="0.35">
      <c r="J364" s="17"/>
      <c r="K364" s="17"/>
      <c r="L364" s="17"/>
      <c r="M364" s="17"/>
      <c r="N364" s="17"/>
      <c r="O364" s="17"/>
      <c r="P364" s="17"/>
      <c r="Q364" s="17"/>
    </row>
    <row r="365" spans="10:17" x14ac:dyDescent="0.35">
      <c r="J365" s="17"/>
      <c r="K365" s="17"/>
      <c r="L365" s="17"/>
      <c r="M365" s="17"/>
      <c r="N365" s="17"/>
      <c r="O365" s="17"/>
      <c r="P365" s="17"/>
      <c r="Q365" s="17"/>
    </row>
    <row r="366" spans="10:17" x14ac:dyDescent="0.35">
      <c r="J366" s="17"/>
      <c r="K366" s="17"/>
      <c r="L366" s="17"/>
      <c r="M366" s="17"/>
      <c r="N366" s="17"/>
      <c r="O366" s="17"/>
      <c r="P366" s="17"/>
      <c r="Q366" s="17"/>
    </row>
    <row r="367" spans="10:17" x14ac:dyDescent="0.35">
      <c r="J367" s="17"/>
      <c r="K367" s="17"/>
      <c r="L367" s="17"/>
      <c r="M367" s="17"/>
      <c r="N367" s="17"/>
      <c r="O367" s="17"/>
      <c r="P367" s="17"/>
      <c r="Q367" s="17"/>
    </row>
    <row r="368" spans="10:17" x14ac:dyDescent="0.35">
      <c r="J368" s="17"/>
      <c r="K368" s="17"/>
      <c r="L368" s="17"/>
      <c r="M368" s="17"/>
      <c r="N368" s="17"/>
      <c r="O368" s="17"/>
      <c r="P368" s="17"/>
      <c r="Q368" s="17"/>
    </row>
    <row r="369" spans="10:17" x14ac:dyDescent="0.35">
      <c r="J369" s="17"/>
      <c r="K369" s="17"/>
      <c r="L369" s="17"/>
      <c r="M369" s="17"/>
      <c r="N369" s="17"/>
      <c r="O369" s="17"/>
      <c r="P369" s="17"/>
      <c r="Q369" s="17"/>
    </row>
    <row r="370" spans="10:17" x14ac:dyDescent="0.35">
      <c r="J370" s="17"/>
      <c r="K370" s="17"/>
      <c r="L370" s="17"/>
      <c r="M370" s="17"/>
      <c r="N370" s="17"/>
      <c r="O370" s="17"/>
      <c r="P370" s="17"/>
      <c r="Q370" s="17"/>
    </row>
    <row r="371" spans="10:17" x14ac:dyDescent="0.35">
      <c r="J371" s="17"/>
      <c r="K371" s="17"/>
      <c r="L371" s="17"/>
      <c r="M371" s="17"/>
      <c r="N371" s="17"/>
      <c r="O371" s="17"/>
      <c r="P371" s="17"/>
      <c r="Q371" s="17"/>
    </row>
    <row r="372" spans="10:17" x14ac:dyDescent="0.35">
      <c r="J372" s="17"/>
      <c r="K372" s="17"/>
      <c r="L372" s="17"/>
      <c r="M372" s="17"/>
      <c r="N372" s="17"/>
      <c r="O372" s="17"/>
      <c r="P372" s="17"/>
      <c r="Q372" s="17"/>
    </row>
    <row r="373" spans="10:17" x14ac:dyDescent="0.35">
      <c r="J373" s="17"/>
      <c r="K373" s="17"/>
      <c r="L373" s="17"/>
      <c r="M373" s="17"/>
      <c r="N373" s="17"/>
      <c r="O373" s="17"/>
      <c r="P373" s="17"/>
      <c r="Q373" s="17"/>
    </row>
    <row r="374" spans="10:17" x14ac:dyDescent="0.35">
      <c r="J374" s="17"/>
      <c r="K374" s="17"/>
      <c r="L374" s="17"/>
      <c r="M374" s="17"/>
      <c r="N374" s="17"/>
      <c r="O374" s="17"/>
      <c r="P374" s="17"/>
      <c r="Q374" s="17"/>
    </row>
    <row r="375" spans="10:17" x14ac:dyDescent="0.35">
      <c r="J375" s="17"/>
      <c r="K375" s="17"/>
      <c r="L375" s="17"/>
      <c r="M375" s="17"/>
      <c r="N375" s="17"/>
      <c r="O375" s="17"/>
      <c r="P375" s="17"/>
      <c r="Q375" s="17"/>
    </row>
    <row r="376" spans="10:17" x14ac:dyDescent="0.35">
      <c r="J376" s="17"/>
      <c r="K376" s="17"/>
      <c r="L376" s="17"/>
      <c r="M376" s="17"/>
      <c r="N376" s="17"/>
      <c r="O376" s="17"/>
      <c r="P376" s="17"/>
      <c r="Q376" s="17"/>
    </row>
    <row r="377" spans="10:17" x14ac:dyDescent="0.35">
      <c r="J377" s="17"/>
      <c r="K377" s="17"/>
      <c r="L377" s="17"/>
      <c r="M377" s="17"/>
      <c r="N377" s="17"/>
      <c r="O377" s="17"/>
      <c r="P377" s="17"/>
      <c r="Q377" s="17"/>
    </row>
    <row r="378" spans="10:17" x14ac:dyDescent="0.35">
      <c r="J378" s="17"/>
      <c r="K378" s="17"/>
      <c r="L378" s="17"/>
      <c r="M378" s="17"/>
      <c r="N378" s="17"/>
      <c r="O378" s="17"/>
      <c r="P378" s="17"/>
      <c r="Q378" s="17"/>
    </row>
    <row r="379" spans="10:17" x14ac:dyDescent="0.35">
      <c r="J379" s="17"/>
      <c r="K379" s="17"/>
      <c r="L379" s="17"/>
      <c r="M379" s="17"/>
      <c r="N379" s="17"/>
      <c r="O379" s="17"/>
      <c r="P379" s="17"/>
      <c r="Q379" s="17"/>
    </row>
    <row r="380" spans="10:17" x14ac:dyDescent="0.35">
      <c r="J380" s="17"/>
      <c r="K380" s="17"/>
      <c r="L380" s="17"/>
      <c r="M380" s="17"/>
      <c r="N380" s="17"/>
      <c r="O380" s="17"/>
      <c r="P380" s="17"/>
      <c r="Q380" s="17"/>
    </row>
    <row r="381" spans="10:17" x14ac:dyDescent="0.35">
      <c r="J381" s="17"/>
      <c r="K381" s="17"/>
      <c r="L381" s="17"/>
      <c r="M381" s="17"/>
      <c r="N381" s="17"/>
      <c r="O381" s="17"/>
      <c r="P381" s="17"/>
      <c r="Q381" s="17"/>
    </row>
    <row r="382" spans="10:17" x14ac:dyDescent="0.35">
      <c r="J382" s="17"/>
      <c r="K382" s="17"/>
      <c r="L382" s="17"/>
      <c r="M382" s="17"/>
      <c r="N382" s="17"/>
      <c r="O382" s="17"/>
      <c r="P382" s="17"/>
      <c r="Q382" s="17"/>
    </row>
    <row r="383" spans="10:17" x14ac:dyDescent="0.35">
      <c r="J383" s="17"/>
      <c r="K383" s="17"/>
      <c r="L383" s="17"/>
      <c r="M383" s="17"/>
      <c r="N383" s="17"/>
      <c r="O383" s="17"/>
      <c r="P383" s="17"/>
      <c r="Q383" s="17"/>
    </row>
    <row r="384" spans="10:17" x14ac:dyDescent="0.35">
      <c r="J384" s="17"/>
      <c r="K384" s="17"/>
      <c r="L384" s="17"/>
      <c r="M384" s="17"/>
      <c r="N384" s="17"/>
      <c r="O384" s="17"/>
      <c r="P384" s="17"/>
      <c r="Q384" s="17"/>
    </row>
    <row r="385" spans="10:17" x14ac:dyDescent="0.35">
      <c r="J385" s="17"/>
      <c r="K385" s="17"/>
      <c r="L385" s="17"/>
      <c r="M385" s="17"/>
      <c r="N385" s="17"/>
      <c r="O385" s="17"/>
      <c r="P385" s="17"/>
      <c r="Q385" s="17"/>
    </row>
    <row r="386" spans="10:17" x14ac:dyDescent="0.35">
      <c r="J386" s="17"/>
      <c r="K386" s="17"/>
      <c r="L386" s="17"/>
      <c r="M386" s="17"/>
      <c r="N386" s="17"/>
      <c r="O386" s="17"/>
      <c r="P386" s="17"/>
      <c r="Q386" s="17"/>
    </row>
    <row r="387" spans="10:17" x14ac:dyDescent="0.35">
      <c r="J387" s="17"/>
      <c r="K387" s="17"/>
      <c r="L387" s="17"/>
      <c r="M387" s="17"/>
      <c r="N387" s="17"/>
      <c r="O387" s="17"/>
      <c r="P387" s="17"/>
      <c r="Q387" s="17"/>
    </row>
    <row r="388" spans="10:17" x14ac:dyDescent="0.35">
      <c r="J388" s="17"/>
      <c r="K388" s="17"/>
      <c r="L388" s="17"/>
      <c r="M388" s="17"/>
      <c r="N388" s="17"/>
      <c r="O388" s="17"/>
      <c r="P388" s="17"/>
      <c r="Q388" s="17"/>
    </row>
    <row r="389" spans="10:17" x14ac:dyDescent="0.35">
      <c r="J389" s="17"/>
      <c r="K389" s="17"/>
      <c r="L389" s="17"/>
      <c r="M389" s="17"/>
      <c r="N389" s="17"/>
      <c r="O389" s="17"/>
      <c r="P389" s="17"/>
      <c r="Q389" s="17"/>
    </row>
    <row r="390" spans="10:17" x14ac:dyDescent="0.35">
      <c r="J390" s="17"/>
      <c r="K390" s="17"/>
      <c r="L390" s="17"/>
      <c r="M390" s="17"/>
      <c r="N390" s="17"/>
      <c r="O390" s="17"/>
      <c r="P390" s="17"/>
      <c r="Q390" s="17"/>
    </row>
    <row r="391" spans="10:17" x14ac:dyDescent="0.35">
      <c r="J391" s="17"/>
      <c r="K391" s="17"/>
      <c r="L391" s="17"/>
      <c r="M391" s="17"/>
      <c r="N391" s="17"/>
      <c r="O391" s="17"/>
      <c r="P391" s="17"/>
      <c r="Q391" s="17"/>
    </row>
    <row r="392" spans="10:17" x14ac:dyDescent="0.35">
      <c r="J392" s="17"/>
      <c r="K392" s="17"/>
      <c r="L392" s="17"/>
      <c r="M392" s="17"/>
      <c r="N392" s="17"/>
      <c r="O392" s="17"/>
      <c r="P392" s="17"/>
      <c r="Q392" s="17"/>
    </row>
    <row r="393" spans="10:17" x14ac:dyDescent="0.35">
      <c r="J393" s="17"/>
      <c r="K393" s="17"/>
      <c r="L393" s="17"/>
      <c r="M393" s="17"/>
      <c r="N393" s="17"/>
      <c r="O393" s="17"/>
      <c r="P393" s="17"/>
      <c r="Q393" s="17"/>
    </row>
    <row r="394" spans="10:17" x14ac:dyDescent="0.35">
      <c r="J394" s="17"/>
      <c r="K394" s="17"/>
      <c r="L394" s="17"/>
      <c r="M394" s="17"/>
      <c r="N394" s="17"/>
      <c r="O394" s="17"/>
      <c r="P394" s="17"/>
      <c r="Q394" s="17"/>
    </row>
    <row r="395" spans="10:17" x14ac:dyDescent="0.35">
      <c r="J395" s="17"/>
      <c r="K395" s="17"/>
      <c r="L395" s="17"/>
      <c r="M395" s="17"/>
      <c r="N395" s="17"/>
      <c r="O395" s="17"/>
      <c r="P395" s="17"/>
      <c r="Q395" s="17"/>
    </row>
    <row r="396" spans="10:17" x14ac:dyDescent="0.35">
      <c r="J396" s="17"/>
      <c r="K396" s="17"/>
      <c r="L396" s="17"/>
      <c r="M396" s="17"/>
      <c r="N396" s="17"/>
      <c r="O396" s="17"/>
      <c r="P396" s="17"/>
      <c r="Q396" s="17"/>
    </row>
    <row r="397" spans="10:17" x14ac:dyDescent="0.35">
      <c r="J397" s="17"/>
      <c r="K397" s="17"/>
      <c r="L397" s="17"/>
      <c r="M397" s="17"/>
      <c r="N397" s="17"/>
      <c r="O397" s="17"/>
      <c r="P397" s="17"/>
      <c r="Q397" s="17"/>
    </row>
    <row r="398" spans="10:17" x14ac:dyDescent="0.35">
      <c r="J398" s="17"/>
      <c r="K398" s="17"/>
      <c r="L398" s="17"/>
      <c r="M398" s="17"/>
      <c r="N398" s="17"/>
      <c r="O398" s="17"/>
      <c r="P398" s="17"/>
      <c r="Q398" s="17"/>
    </row>
    <row r="399" spans="10:17" x14ac:dyDescent="0.35">
      <c r="J399" s="17"/>
      <c r="K399" s="17"/>
      <c r="L399" s="17"/>
      <c r="M399" s="17"/>
      <c r="N399" s="17"/>
      <c r="O399" s="17"/>
      <c r="P399" s="17"/>
      <c r="Q399" s="17"/>
    </row>
    <row r="400" spans="10:17" x14ac:dyDescent="0.35">
      <c r="J400" s="17"/>
      <c r="K400" s="17"/>
      <c r="L400" s="17"/>
      <c r="M400" s="17"/>
      <c r="N400" s="17"/>
      <c r="O400" s="17"/>
      <c r="P400" s="17"/>
      <c r="Q400" s="17"/>
    </row>
    <row r="401" spans="10:17" x14ac:dyDescent="0.35">
      <c r="J401" s="17"/>
      <c r="K401" s="17"/>
      <c r="L401" s="17"/>
      <c r="M401" s="17"/>
      <c r="N401" s="17"/>
      <c r="O401" s="17"/>
      <c r="P401" s="17"/>
      <c r="Q401" s="17"/>
    </row>
    <row r="402" spans="10:17" x14ac:dyDescent="0.35">
      <c r="J402" s="17"/>
      <c r="K402" s="17"/>
      <c r="L402" s="17"/>
      <c r="M402" s="17"/>
      <c r="N402" s="17"/>
      <c r="O402" s="17"/>
      <c r="P402" s="17"/>
      <c r="Q402" s="17"/>
    </row>
    <row r="403" spans="10:17" x14ac:dyDescent="0.35">
      <c r="J403" s="17"/>
      <c r="K403" s="17"/>
      <c r="L403" s="17"/>
      <c r="M403" s="17"/>
      <c r="N403" s="17"/>
      <c r="O403" s="17"/>
      <c r="P403" s="17"/>
      <c r="Q403" s="17"/>
    </row>
    <row r="404" spans="10:17" x14ac:dyDescent="0.35">
      <c r="J404" s="17"/>
      <c r="K404" s="17"/>
      <c r="L404" s="17"/>
      <c r="M404" s="17"/>
      <c r="N404" s="17"/>
      <c r="O404" s="17"/>
      <c r="P404" s="17"/>
      <c r="Q404" s="17"/>
    </row>
    <row r="405" spans="10:17" x14ac:dyDescent="0.35">
      <c r="J405" s="17"/>
      <c r="K405" s="17"/>
      <c r="L405" s="17"/>
      <c r="M405" s="17"/>
      <c r="N405" s="17"/>
      <c r="O405" s="17"/>
      <c r="P405" s="17"/>
      <c r="Q405" s="17"/>
    </row>
    <row r="406" spans="10:17" x14ac:dyDescent="0.35">
      <c r="J406" s="17"/>
      <c r="K406" s="17"/>
      <c r="L406" s="17"/>
      <c r="M406" s="17"/>
      <c r="N406" s="17"/>
      <c r="O406" s="17"/>
      <c r="P406" s="17"/>
      <c r="Q406" s="17"/>
    </row>
    <row r="407" spans="10:17" x14ac:dyDescent="0.35">
      <c r="J407" s="17"/>
      <c r="K407" s="17"/>
      <c r="L407" s="17"/>
      <c r="M407" s="17"/>
      <c r="N407" s="17"/>
      <c r="O407" s="17"/>
      <c r="P407" s="17"/>
      <c r="Q407" s="17"/>
    </row>
    <row r="408" spans="10:17" x14ac:dyDescent="0.35">
      <c r="J408" s="17"/>
      <c r="K408" s="17"/>
      <c r="L408" s="17"/>
      <c r="M408" s="17"/>
      <c r="N408" s="17"/>
      <c r="O408" s="17"/>
      <c r="P408" s="17"/>
      <c r="Q408" s="17"/>
    </row>
    <row r="409" spans="10:17" x14ac:dyDescent="0.35">
      <c r="J409" s="17"/>
      <c r="K409" s="17"/>
      <c r="L409" s="17"/>
      <c r="M409" s="17"/>
      <c r="N409" s="17"/>
      <c r="O409" s="17"/>
      <c r="P409" s="17"/>
      <c r="Q409" s="17"/>
    </row>
    <row r="410" spans="10:17" x14ac:dyDescent="0.35">
      <c r="J410" s="17"/>
      <c r="K410" s="17"/>
      <c r="L410" s="17"/>
      <c r="M410" s="17"/>
      <c r="N410" s="17"/>
      <c r="O410" s="17"/>
      <c r="P410" s="17"/>
      <c r="Q410" s="17"/>
    </row>
    <row r="411" spans="10:17" x14ac:dyDescent="0.35">
      <c r="J411" s="17"/>
      <c r="K411" s="17"/>
      <c r="L411" s="17"/>
      <c r="M411" s="17"/>
      <c r="N411" s="17"/>
      <c r="O411" s="17"/>
      <c r="P411" s="17"/>
      <c r="Q411" s="17"/>
    </row>
    <row r="412" spans="10:17" x14ac:dyDescent="0.35">
      <c r="J412" s="17"/>
      <c r="K412" s="17"/>
      <c r="L412" s="17"/>
      <c r="M412" s="17"/>
      <c r="N412" s="17"/>
      <c r="O412" s="17"/>
      <c r="P412" s="17"/>
      <c r="Q412" s="17"/>
    </row>
    <row r="413" spans="10:17" x14ac:dyDescent="0.35">
      <c r="J413" s="17"/>
      <c r="K413" s="17"/>
      <c r="L413" s="17"/>
      <c r="M413" s="17"/>
      <c r="N413" s="17"/>
      <c r="O413" s="17"/>
      <c r="P413" s="17"/>
      <c r="Q413" s="17"/>
    </row>
    <row r="414" spans="10:17" x14ac:dyDescent="0.35">
      <c r="J414" s="17"/>
      <c r="K414" s="17"/>
      <c r="L414" s="17"/>
      <c r="M414" s="17"/>
      <c r="N414" s="17"/>
      <c r="O414" s="17"/>
      <c r="P414" s="17"/>
      <c r="Q414" s="17"/>
    </row>
    <row r="415" spans="10:17" x14ac:dyDescent="0.35">
      <c r="J415" s="17"/>
      <c r="K415" s="17"/>
      <c r="L415" s="17"/>
      <c r="M415" s="17"/>
      <c r="N415" s="17"/>
      <c r="O415" s="17"/>
      <c r="P415" s="17"/>
      <c r="Q415" s="17"/>
    </row>
    <row r="416" spans="10:17" x14ac:dyDescent="0.35">
      <c r="J416" s="17"/>
      <c r="K416" s="17"/>
      <c r="L416" s="17"/>
      <c r="M416" s="17"/>
      <c r="N416" s="17"/>
      <c r="O416" s="17"/>
      <c r="P416" s="17"/>
      <c r="Q416" s="17"/>
    </row>
    <row r="417" spans="10:17" x14ac:dyDescent="0.35">
      <c r="J417" s="17"/>
      <c r="K417" s="17"/>
      <c r="L417" s="17"/>
      <c r="M417" s="17"/>
      <c r="N417" s="17"/>
      <c r="O417" s="17"/>
      <c r="P417" s="17"/>
      <c r="Q417" s="17"/>
    </row>
    <row r="418" spans="10:17" x14ac:dyDescent="0.35">
      <c r="J418" s="17"/>
      <c r="K418" s="17"/>
      <c r="L418" s="17"/>
      <c r="M418" s="17"/>
      <c r="N418" s="17"/>
      <c r="O418" s="17"/>
      <c r="P418" s="17"/>
      <c r="Q418" s="17"/>
    </row>
    <row r="419" spans="10:17" x14ac:dyDescent="0.35">
      <c r="J419" s="17"/>
      <c r="K419" s="17"/>
      <c r="L419" s="17"/>
      <c r="M419" s="17"/>
      <c r="N419" s="17"/>
      <c r="O419" s="17"/>
      <c r="P419" s="17"/>
      <c r="Q419" s="17"/>
    </row>
    <row r="420" spans="10:17" x14ac:dyDescent="0.35">
      <c r="J420" s="17"/>
      <c r="K420" s="17"/>
      <c r="L420" s="17"/>
      <c r="M420" s="17"/>
      <c r="N420" s="17"/>
      <c r="O420" s="17"/>
      <c r="P420" s="17"/>
      <c r="Q420" s="17"/>
    </row>
    <row r="421" spans="10:17" x14ac:dyDescent="0.35">
      <c r="J421" s="17"/>
      <c r="K421" s="17"/>
      <c r="L421" s="17"/>
      <c r="M421" s="17"/>
      <c r="N421" s="17"/>
      <c r="O421" s="17"/>
      <c r="P421" s="17"/>
      <c r="Q421" s="17"/>
    </row>
    <row r="422" spans="10:17" x14ac:dyDescent="0.35">
      <c r="J422" s="17"/>
      <c r="K422" s="17"/>
      <c r="L422" s="17"/>
      <c r="M422" s="17"/>
      <c r="N422" s="17"/>
      <c r="O422" s="17"/>
      <c r="P422" s="17"/>
      <c r="Q422" s="17"/>
    </row>
    <row r="423" spans="10:17" x14ac:dyDescent="0.35">
      <c r="J423" s="17"/>
      <c r="K423" s="17"/>
      <c r="L423" s="17"/>
      <c r="M423" s="17"/>
      <c r="N423" s="17"/>
      <c r="O423" s="17"/>
      <c r="P423" s="17"/>
      <c r="Q423" s="17"/>
    </row>
    <row r="424" spans="10:17" x14ac:dyDescent="0.35">
      <c r="J424" s="17"/>
      <c r="K424" s="17"/>
      <c r="L424" s="17"/>
      <c r="M424" s="17"/>
      <c r="N424" s="17"/>
      <c r="O424" s="17"/>
      <c r="P424" s="17"/>
      <c r="Q424" s="17"/>
    </row>
    <row r="425" spans="10:17" x14ac:dyDescent="0.35">
      <c r="J425" s="17"/>
      <c r="K425" s="17"/>
      <c r="L425" s="17"/>
      <c r="M425" s="17"/>
      <c r="N425" s="17"/>
      <c r="O425" s="17"/>
      <c r="P425" s="17"/>
      <c r="Q425" s="17"/>
    </row>
    <row r="426" spans="10:17" x14ac:dyDescent="0.35">
      <c r="J426" s="17"/>
      <c r="K426" s="17"/>
      <c r="L426" s="17"/>
      <c r="M426" s="17"/>
      <c r="N426" s="17"/>
      <c r="O426" s="17"/>
      <c r="P426" s="17"/>
      <c r="Q426" s="17"/>
    </row>
    <row r="427" spans="10:17" x14ac:dyDescent="0.35">
      <c r="J427" s="17"/>
      <c r="K427" s="17"/>
      <c r="L427" s="17"/>
      <c r="M427" s="17"/>
      <c r="N427" s="17"/>
      <c r="O427" s="17"/>
      <c r="P427" s="17"/>
      <c r="Q427" s="17"/>
    </row>
    <row r="428" spans="10:17" x14ac:dyDescent="0.35">
      <c r="J428" s="17"/>
      <c r="K428" s="17"/>
      <c r="L428" s="17"/>
      <c r="M428" s="17"/>
      <c r="N428" s="17"/>
      <c r="O428" s="17"/>
      <c r="P428" s="17"/>
      <c r="Q428" s="17"/>
    </row>
    <row r="429" spans="10:17" x14ac:dyDescent="0.35">
      <c r="J429" s="17"/>
      <c r="K429" s="17"/>
      <c r="L429" s="17"/>
      <c r="M429" s="17"/>
      <c r="N429" s="17"/>
      <c r="O429" s="17"/>
      <c r="P429" s="17"/>
      <c r="Q429" s="17"/>
    </row>
    <row r="430" spans="10:17" x14ac:dyDescent="0.35">
      <c r="J430" s="17"/>
      <c r="K430" s="17"/>
      <c r="L430" s="17"/>
      <c r="M430" s="17"/>
      <c r="N430" s="17"/>
      <c r="O430" s="17"/>
      <c r="P430" s="17"/>
      <c r="Q430" s="17"/>
    </row>
    <row r="431" spans="10:17" x14ac:dyDescent="0.35">
      <c r="J431" s="17"/>
      <c r="K431" s="17"/>
      <c r="L431" s="17"/>
      <c r="M431" s="17"/>
      <c r="N431" s="17"/>
      <c r="O431" s="17"/>
      <c r="P431" s="17"/>
      <c r="Q431" s="17"/>
    </row>
    <row r="432" spans="10:17" x14ac:dyDescent="0.35">
      <c r="J432" s="17"/>
      <c r="K432" s="17"/>
      <c r="L432" s="17"/>
      <c r="M432" s="17"/>
      <c r="N432" s="17"/>
      <c r="O432" s="17"/>
      <c r="P432" s="17"/>
      <c r="Q432" s="17"/>
    </row>
    <row r="433" spans="10:17" x14ac:dyDescent="0.35">
      <c r="J433" s="17"/>
      <c r="K433" s="17"/>
      <c r="L433" s="17"/>
      <c r="M433" s="17"/>
      <c r="N433" s="17"/>
      <c r="O433" s="17"/>
      <c r="P433" s="17"/>
      <c r="Q433" s="17"/>
    </row>
    <row r="434" spans="10:17" x14ac:dyDescent="0.35">
      <c r="J434" s="17"/>
      <c r="K434" s="17"/>
      <c r="L434" s="17"/>
      <c r="M434" s="17"/>
      <c r="N434" s="17"/>
      <c r="O434" s="17"/>
      <c r="P434" s="17"/>
      <c r="Q434" s="17"/>
    </row>
    <row r="435" spans="10:17" x14ac:dyDescent="0.35">
      <c r="J435" s="17"/>
      <c r="K435" s="17"/>
      <c r="L435" s="17"/>
      <c r="M435" s="17"/>
      <c r="N435" s="17"/>
      <c r="O435" s="17"/>
      <c r="P435" s="17"/>
      <c r="Q435" s="17"/>
    </row>
    <row r="436" spans="10:17" x14ac:dyDescent="0.35">
      <c r="J436" s="17"/>
      <c r="K436" s="17"/>
      <c r="L436" s="17"/>
      <c r="M436" s="17"/>
      <c r="N436" s="17"/>
      <c r="O436" s="17"/>
      <c r="P436" s="17"/>
      <c r="Q436" s="17"/>
    </row>
    <row r="437" spans="10:17" x14ac:dyDescent="0.35">
      <c r="J437" s="17"/>
      <c r="K437" s="17"/>
      <c r="L437" s="17"/>
      <c r="M437" s="17"/>
      <c r="N437" s="17"/>
      <c r="O437" s="17"/>
      <c r="P437" s="17"/>
      <c r="Q437" s="17"/>
    </row>
    <row r="438" spans="10:17" x14ac:dyDescent="0.35">
      <c r="J438" s="17"/>
      <c r="K438" s="17"/>
      <c r="L438" s="17"/>
      <c r="M438" s="17"/>
      <c r="N438" s="17"/>
      <c r="O438" s="17"/>
      <c r="P438" s="17"/>
      <c r="Q438" s="17"/>
    </row>
    <row r="439" spans="10:17" x14ac:dyDescent="0.35">
      <c r="J439" s="17"/>
      <c r="K439" s="17"/>
      <c r="L439" s="17"/>
      <c r="M439" s="17"/>
      <c r="N439" s="17"/>
      <c r="O439" s="17"/>
      <c r="P439" s="17"/>
      <c r="Q439" s="17"/>
    </row>
    <row r="440" spans="10:17" x14ac:dyDescent="0.35">
      <c r="J440" s="17"/>
      <c r="K440" s="17"/>
      <c r="L440" s="17"/>
      <c r="M440" s="17"/>
      <c r="N440" s="17"/>
      <c r="O440" s="17"/>
      <c r="P440" s="17"/>
      <c r="Q440" s="17"/>
    </row>
    <row r="441" spans="10:17" x14ac:dyDescent="0.35">
      <c r="J441" s="17"/>
      <c r="K441" s="17"/>
      <c r="L441" s="17"/>
      <c r="M441" s="17"/>
      <c r="N441" s="17"/>
      <c r="O441" s="17"/>
      <c r="P441" s="17"/>
      <c r="Q441" s="17"/>
    </row>
    <row r="442" spans="10:17" x14ac:dyDescent="0.35">
      <c r="J442" s="17"/>
      <c r="K442" s="17"/>
      <c r="L442" s="17"/>
      <c r="M442" s="17"/>
      <c r="N442" s="17"/>
      <c r="O442" s="17"/>
      <c r="P442" s="17"/>
      <c r="Q442" s="17"/>
    </row>
    <row r="443" spans="10:17" x14ac:dyDescent="0.35">
      <c r="J443" s="17"/>
      <c r="K443" s="17"/>
      <c r="L443" s="17"/>
      <c r="M443" s="17"/>
      <c r="N443" s="17"/>
      <c r="O443" s="17"/>
      <c r="P443" s="17"/>
      <c r="Q443" s="17"/>
    </row>
    <row r="444" spans="10:17" x14ac:dyDescent="0.35">
      <c r="J444" s="17"/>
      <c r="K444" s="17"/>
      <c r="L444" s="17"/>
      <c r="M444" s="17"/>
      <c r="N444" s="17"/>
      <c r="O444" s="17"/>
      <c r="P444" s="17"/>
      <c r="Q444" s="17"/>
    </row>
    <row r="445" spans="10:17" x14ac:dyDescent="0.35">
      <c r="J445" s="17"/>
      <c r="K445" s="17"/>
      <c r="L445" s="17"/>
      <c r="M445" s="17"/>
      <c r="N445" s="17"/>
      <c r="O445" s="17"/>
      <c r="P445" s="17"/>
      <c r="Q445" s="17"/>
    </row>
    <row r="446" spans="10:17" x14ac:dyDescent="0.35">
      <c r="J446" s="17"/>
      <c r="K446" s="17"/>
      <c r="L446" s="17"/>
      <c r="M446" s="17"/>
      <c r="N446" s="17"/>
      <c r="O446" s="17"/>
      <c r="P446" s="17"/>
      <c r="Q446" s="17"/>
    </row>
    <row r="447" spans="10:17" x14ac:dyDescent="0.35">
      <c r="J447" s="17"/>
      <c r="K447" s="17"/>
      <c r="L447" s="17"/>
      <c r="M447" s="17"/>
      <c r="N447" s="17"/>
      <c r="O447" s="17"/>
      <c r="P447" s="17"/>
      <c r="Q447" s="17"/>
    </row>
    <row r="448" spans="10:17" x14ac:dyDescent="0.35">
      <c r="J448" s="17"/>
      <c r="K448" s="17"/>
      <c r="L448" s="17"/>
      <c r="M448" s="17"/>
      <c r="N448" s="17"/>
      <c r="O448" s="17"/>
      <c r="P448" s="17"/>
      <c r="Q448" s="17"/>
    </row>
    <row r="449" spans="10:17" x14ac:dyDescent="0.35">
      <c r="J449" s="17"/>
      <c r="K449" s="17"/>
      <c r="L449" s="17"/>
      <c r="M449" s="17"/>
      <c r="N449" s="17"/>
      <c r="O449" s="17"/>
      <c r="P449" s="17"/>
      <c r="Q449" s="17"/>
    </row>
    <row r="450" spans="10:17" x14ac:dyDescent="0.35">
      <c r="J450" s="17"/>
      <c r="K450" s="17"/>
      <c r="L450" s="17"/>
      <c r="M450" s="17"/>
      <c r="N450" s="17"/>
      <c r="O450" s="17"/>
      <c r="P450" s="17"/>
      <c r="Q450" s="17"/>
    </row>
    <row r="451" spans="10:17" x14ac:dyDescent="0.35">
      <c r="J451" s="17"/>
      <c r="K451" s="17"/>
      <c r="L451" s="17"/>
      <c r="M451" s="17"/>
      <c r="N451" s="17"/>
      <c r="O451" s="17"/>
      <c r="P451" s="17"/>
      <c r="Q451" s="17"/>
    </row>
    <row r="452" spans="10:17" x14ac:dyDescent="0.35">
      <c r="J452" s="17"/>
      <c r="K452" s="17"/>
      <c r="L452" s="17"/>
      <c r="M452" s="17"/>
      <c r="N452" s="17"/>
      <c r="O452" s="17"/>
      <c r="P452" s="17"/>
      <c r="Q452" s="17"/>
    </row>
    <row r="453" spans="10:17" x14ac:dyDescent="0.35">
      <c r="J453" s="17"/>
      <c r="K453" s="17"/>
      <c r="L453" s="17"/>
      <c r="M453" s="17"/>
      <c r="N453" s="17"/>
      <c r="O453" s="17"/>
      <c r="P453" s="17"/>
      <c r="Q453" s="17"/>
    </row>
    <row r="454" spans="10:17" x14ac:dyDescent="0.35">
      <c r="J454" s="17"/>
      <c r="K454" s="17"/>
      <c r="L454" s="17"/>
      <c r="M454" s="17"/>
      <c r="N454" s="17"/>
      <c r="O454" s="17"/>
      <c r="P454" s="17"/>
      <c r="Q454" s="17"/>
    </row>
    <row r="455" spans="10:17" x14ac:dyDescent="0.35">
      <c r="J455" s="17"/>
      <c r="K455" s="17"/>
      <c r="L455" s="17"/>
      <c r="M455" s="17"/>
      <c r="N455" s="17"/>
      <c r="O455" s="17"/>
      <c r="P455" s="17"/>
      <c r="Q455" s="17"/>
    </row>
    <row r="456" spans="10:17" x14ac:dyDescent="0.35">
      <c r="J456" s="17"/>
      <c r="K456" s="17"/>
      <c r="L456" s="17"/>
      <c r="M456" s="17"/>
      <c r="N456" s="17"/>
      <c r="O456" s="17"/>
      <c r="P456" s="17"/>
      <c r="Q456" s="17"/>
    </row>
    <row r="457" spans="10:17" x14ac:dyDescent="0.35">
      <c r="J457" s="17"/>
      <c r="K457" s="17"/>
      <c r="L457" s="17"/>
      <c r="M457" s="17"/>
      <c r="N457" s="17"/>
      <c r="O457" s="17"/>
      <c r="P457" s="17"/>
      <c r="Q457" s="17"/>
    </row>
    <row r="458" spans="10:17" x14ac:dyDescent="0.35">
      <c r="J458" s="17"/>
      <c r="K458" s="17"/>
      <c r="L458" s="17"/>
      <c r="M458" s="17"/>
      <c r="N458" s="17"/>
      <c r="O458" s="17"/>
      <c r="P458" s="17"/>
      <c r="Q458" s="17"/>
    </row>
    <row r="459" spans="10:17" x14ac:dyDescent="0.35">
      <c r="J459" s="17"/>
      <c r="K459" s="17"/>
      <c r="L459" s="17"/>
      <c r="M459" s="17"/>
      <c r="N459" s="17"/>
      <c r="O459" s="17"/>
      <c r="P459" s="17"/>
      <c r="Q459" s="17"/>
    </row>
    <row r="460" spans="10:17" x14ac:dyDescent="0.35">
      <c r="J460" s="17"/>
      <c r="K460" s="17"/>
      <c r="L460" s="17"/>
      <c r="M460" s="17"/>
      <c r="N460" s="17"/>
      <c r="O460" s="17"/>
      <c r="P460" s="17"/>
      <c r="Q460" s="17"/>
    </row>
    <row r="461" spans="10:17" x14ac:dyDescent="0.35">
      <c r="J461" s="17"/>
      <c r="K461" s="17"/>
      <c r="L461" s="17"/>
      <c r="M461" s="17"/>
      <c r="N461" s="17"/>
      <c r="O461" s="17"/>
      <c r="P461" s="17"/>
      <c r="Q461" s="17"/>
    </row>
    <row r="462" spans="10:17" x14ac:dyDescent="0.35">
      <c r="J462" s="17"/>
      <c r="K462" s="17"/>
      <c r="L462" s="17"/>
      <c r="M462" s="17"/>
      <c r="N462" s="17"/>
      <c r="O462" s="17"/>
      <c r="P462" s="17"/>
      <c r="Q462" s="17"/>
    </row>
    <row r="463" spans="10:17" x14ac:dyDescent="0.35">
      <c r="J463" s="17"/>
      <c r="K463" s="17"/>
      <c r="L463" s="17"/>
      <c r="M463" s="17"/>
      <c r="N463" s="17"/>
      <c r="O463" s="17"/>
      <c r="P463" s="17"/>
      <c r="Q463" s="17"/>
    </row>
    <row r="464" spans="10:17" x14ac:dyDescent="0.35">
      <c r="J464" s="17"/>
      <c r="K464" s="17"/>
      <c r="L464" s="17"/>
      <c r="M464" s="17"/>
      <c r="N464" s="17"/>
      <c r="O464" s="17"/>
      <c r="P464" s="17"/>
      <c r="Q464" s="17"/>
    </row>
    <row r="465" spans="10:17" x14ac:dyDescent="0.35">
      <c r="J465" s="17"/>
      <c r="K465" s="17"/>
      <c r="L465" s="17"/>
      <c r="M465" s="17"/>
      <c r="N465" s="17"/>
      <c r="O465" s="17"/>
      <c r="P465" s="17"/>
      <c r="Q465" s="17"/>
    </row>
    <row r="466" spans="10:17" x14ac:dyDescent="0.35">
      <c r="J466" s="17"/>
      <c r="K466" s="17"/>
      <c r="L466" s="17"/>
      <c r="M466" s="17"/>
      <c r="N466" s="17"/>
      <c r="O466" s="17"/>
      <c r="P466" s="17"/>
      <c r="Q466" s="17"/>
    </row>
    <row r="467" spans="10:17" x14ac:dyDescent="0.35">
      <c r="J467" s="17"/>
      <c r="K467" s="17"/>
      <c r="L467" s="17"/>
      <c r="M467" s="17"/>
      <c r="N467" s="17"/>
      <c r="O467" s="17"/>
      <c r="P467" s="17"/>
      <c r="Q467" s="17"/>
    </row>
    <row r="468" spans="10:17" x14ac:dyDescent="0.35">
      <c r="J468" s="17"/>
      <c r="K468" s="17"/>
      <c r="L468" s="17"/>
      <c r="M468" s="17"/>
      <c r="N468" s="17"/>
      <c r="O468" s="17"/>
      <c r="P468" s="17"/>
      <c r="Q468" s="17"/>
    </row>
    <row r="469" spans="10:17" x14ac:dyDescent="0.35">
      <c r="J469" s="17"/>
      <c r="K469" s="17"/>
      <c r="L469" s="17"/>
      <c r="M469" s="17"/>
      <c r="N469" s="17"/>
      <c r="O469" s="17"/>
      <c r="P469" s="17"/>
      <c r="Q469" s="17"/>
    </row>
    <row r="470" spans="10:17" x14ac:dyDescent="0.35">
      <c r="J470" s="17"/>
      <c r="K470" s="17"/>
      <c r="L470" s="17"/>
      <c r="M470" s="17"/>
      <c r="N470" s="17"/>
      <c r="O470" s="17"/>
      <c r="P470" s="17"/>
      <c r="Q470" s="17"/>
    </row>
    <row r="471" spans="10:17" x14ac:dyDescent="0.35">
      <c r="J471" s="17"/>
      <c r="K471" s="17"/>
      <c r="L471" s="17"/>
      <c r="M471" s="17"/>
      <c r="N471" s="17"/>
      <c r="O471" s="17"/>
      <c r="P471" s="17"/>
      <c r="Q471" s="17"/>
    </row>
    <row r="472" spans="10:17" x14ac:dyDescent="0.35">
      <c r="J472" s="17"/>
      <c r="K472" s="17"/>
      <c r="L472" s="17"/>
      <c r="M472" s="17"/>
      <c r="N472" s="17"/>
      <c r="O472" s="17"/>
      <c r="P472" s="17"/>
      <c r="Q472" s="17"/>
    </row>
    <row r="473" spans="10:17" x14ac:dyDescent="0.35">
      <c r="J473" s="17"/>
      <c r="K473" s="17"/>
      <c r="L473" s="17"/>
      <c r="M473" s="17"/>
      <c r="N473" s="17"/>
      <c r="O473" s="17"/>
      <c r="P473" s="17"/>
      <c r="Q473" s="17"/>
    </row>
    <row r="474" spans="10:17" x14ac:dyDescent="0.35">
      <c r="J474" s="17"/>
      <c r="K474" s="17"/>
      <c r="L474" s="17"/>
      <c r="M474" s="17"/>
      <c r="N474" s="17"/>
      <c r="O474" s="17"/>
      <c r="P474" s="17"/>
      <c r="Q474" s="17"/>
    </row>
    <row r="475" spans="10:17" x14ac:dyDescent="0.35">
      <c r="J475" s="17"/>
      <c r="K475" s="17"/>
      <c r="L475" s="17"/>
      <c r="M475" s="17"/>
      <c r="N475" s="17"/>
      <c r="O475" s="17"/>
      <c r="P475" s="17"/>
      <c r="Q475" s="17"/>
    </row>
    <row r="476" spans="10:17" x14ac:dyDescent="0.35">
      <c r="J476" s="17"/>
      <c r="K476" s="17"/>
      <c r="L476" s="17"/>
      <c r="M476" s="17"/>
      <c r="N476" s="17"/>
      <c r="O476" s="17"/>
      <c r="P476" s="17"/>
      <c r="Q476" s="17"/>
    </row>
    <row r="477" spans="10:17" x14ac:dyDescent="0.35">
      <c r="J477" s="17"/>
      <c r="K477" s="17"/>
      <c r="L477" s="17"/>
      <c r="M477" s="17"/>
      <c r="N477" s="17"/>
      <c r="O477" s="17"/>
      <c r="P477" s="17"/>
      <c r="Q477" s="17"/>
    </row>
    <row r="478" spans="10:17" x14ac:dyDescent="0.35">
      <c r="J478" s="17"/>
      <c r="K478" s="17"/>
      <c r="L478" s="17"/>
      <c r="M478" s="17"/>
      <c r="N478" s="17"/>
      <c r="O478" s="17"/>
      <c r="P478" s="17"/>
      <c r="Q478" s="17"/>
    </row>
    <row r="479" spans="10:17" x14ac:dyDescent="0.35">
      <c r="J479" s="17"/>
      <c r="K479" s="17"/>
      <c r="L479" s="17"/>
      <c r="M479" s="17"/>
      <c r="N479" s="17"/>
      <c r="O479" s="17"/>
      <c r="P479" s="17"/>
      <c r="Q479" s="17"/>
    </row>
    <row r="480" spans="10:17" x14ac:dyDescent="0.35">
      <c r="J480" s="17"/>
      <c r="K480" s="17"/>
      <c r="L480" s="17"/>
      <c r="M480" s="17"/>
      <c r="N480" s="17"/>
      <c r="O480" s="17"/>
      <c r="P480" s="17"/>
      <c r="Q480" s="17"/>
    </row>
    <row r="481" spans="10:17" x14ac:dyDescent="0.35">
      <c r="J481" s="17"/>
      <c r="K481" s="17"/>
      <c r="L481" s="17"/>
      <c r="M481" s="17"/>
      <c r="N481" s="17"/>
      <c r="O481" s="17"/>
      <c r="P481" s="17"/>
      <c r="Q481" s="17"/>
    </row>
    <row r="482" spans="10:17" x14ac:dyDescent="0.35">
      <c r="J482" s="17"/>
      <c r="K482" s="17"/>
      <c r="L482" s="17"/>
      <c r="M482" s="17"/>
      <c r="N482" s="17"/>
      <c r="O482" s="17"/>
      <c r="P482" s="17"/>
      <c r="Q482" s="17"/>
    </row>
    <row r="483" spans="10:17" x14ac:dyDescent="0.35">
      <c r="J483" s="17"/>
      <c r="K483" s="17"/>
      <c r="L483" s="17"/>
      <c r="M483" s="17"/>
      <c r="N483" s="17"/>
      <c r="O483" s="17"/>
      <c r="P483" s="17"/>
      <c r="Q483" s="17"/>
    </row>
    <row r="484" spans="10:17" x14ac:dyDescent="0.35">
      <c r="J484" s="17"/>
      <c r="K484" s="17"/>
      <c r="L484" s="17"/>
      <c r="M484" s="17"/>
      <c r="N484" s="17"/>
      <c r="O484" s="17"/>
      <c r="P484" s="17"/>
      <c r="Q484" s="17"/>
    </row>
    <row r="485" spans="10:17" x14ac:dyDescent="0.35">
      <c r="J485" s="17"/>
      <c r="K485" s="17"/>
      <c r="L485" s="17"/>
      <c r="M485" s="17"/>
      <c r="N485" s="17"/>
      <c r="O485" s="17"/>
      <c r="P485" s="17"/>
      <c r="Q485" s="17"/>
    </row>
    <row r="486" spans="10:17" x14ac:dyDescent="0.35">
      <c r="J486" s="17"/>
      <c r="K486" s="17"/>
      <c r="L486" s="17"/>
      <c r="M486" s="17"/>
      <c r="N486" s="17"/>
      <c r="O486" s="17"/>
      <c r="P486" s="17"/>
      <c r="Q486" s="17"/>
    </row>
    <row r="487" spans="10:17" x14ac:dyDescent="0.35">
      <c r="J487" s="17"/>
      <c r="K487" s="17"/>
      <c r="L487" s="17"/>
      <c r="M487" s="17"/>
      <c r="N487" s="17"/>
      <c r="O487" s="17"/>
      <c r="P487" s="17"/>
      <c r="Q487" s="17"/>
    </row>
    <row r="488" spans="10:17" x14ac:dyDescent="0.35">
      <c r="J488" s="17"/>
      <c r="K488" s="17"/>
      <c r="L488" s="17"/>
      <c r="M488" s="17"/>
      <c r="N488" s="17"/>
      <c r="O488" s="17"/>
      <c r="P488" s="17"/>
      <c r="Q488" s="17"/>
    </row>
    <row r="489" spans="10:17" x14ac:dyDescent="0.35">
      <c r="J489" s="17"/>
      <c r="K489" s="17"/>
      <c r="L489" s="17"/>
      <c r="M489" s="17"/>
      <c r="N489" s="17"/>
      <c r="O489" s="17"/>
      <c r="P489" s="17"/>
      <c r="Q489" s="17"/>
    </row>
    <row r="490" spans="10:17" x14ac:dyDescent="0.35">
      <c r="J490" s="17"/>
      <c r="K490" s="17"/>
      <c r="L490" s="17"/>
      <c r="M490" s="17"/>
      <c r="N490" s="17"/>
      <c r="O490" s="17"/>
      <c r="P490" s="17"/>
      <c r="Q490" s="17"/>
    </row>
    <row r="491" spans="10:17" x14ac:dyDescent="0.35">
      <c r="J491" s="17"/>
      <c r="K491" s="17"/>
      <c r="L491" s="17"/>
      <c r="M491" s="17"/>
      <c r="N491" s="17"/>
      <c r="O491" s="17"/>
      <c r="P491" s="17"/>
      <c r="Q491" s="17"/>
    </row>
    <row r="492" spans="10:17" x14ac:dyDescent="0.35">
      <c r="J492" s="17"/>
      <c r="K492" s="17"/>
      <c r="L492" s="17"/>
      <c r="M492" s="17"/>
      <c r="N492" s="17"/>
      <c r="O492" s="17"/>
      <c r="P492" s="17"/>
      <c r="Q492" s="17"/>
    </row>
    <row r="493" spans="10:17" x14ac:dyDescent="0.35">
      <c r="J493" s="17"/>
      <c r="K493" s="17"/>
      <c r="L493" s="17"/>
      <c r="M493" s="17"/>
      <c r="N493" s="17"/>
      <c r="O493" s="17"/>
      <c r="P493" s="17"/>
      <c r="Q493" s="17"/>
    </row>
    <row r="494" spans="10:17" x14ac:dyDescent="0.35">
      <c r="J494" s="17"/>
      <c r="K494" s="17"/>
      <c r="L494" s="17"/>
      <c r="M494" s="17"/>
      <c r="N494" s="17"/>
      <c r="O494" s="17"/>
      <c r="P494" s="17"/>
      <c r="Q494" s="17"/>
    </row>
    <row r="495" spans="10:17" x14ac:dyDescent="0.35">
      <c r="J495" s="17"/>
      <c r="K495" s="17"/>
      <c r="L495" s="17"/>
      <c r="M495" s="17"/>
      <c r="N495" s="17"/>
      <c r="O495" s="17"/>
      <c r="P495" s="17"/>
      <c r="Q495" s="17"/>
    </row>
    <row r="496" spans="10:17" x14ac:dyDescent="0.35">
      <c r="J496" s="17"/>
      <c r="K496" s="17"/>
      <c r="L496" s="17"/>
      <c r="M496" s="17"/>
      <c r="N496" s="17"/>
      <c r="O496" s="17"/>
      <c r="P496" s="17"/>
      <c r="Q496" s="17"/>
    </row>
    <row r="497" spans="10:17" x14ac:dyDescent="0.35">
      <c r="J497" s="17"/>
      <c r="K497" s="17"/>
      <c r="L497" s="17"/>
      <c r="M497" s="17"/>
      <c r="N497" s="17"/>
      <c r="O497" s="17"/>
      <c r="P497" s="17"/>
      <c r="Q497" s="17"/>
    </row>
    <row r="498" spans="10:17" x14ac:dyDescent="0.35">
      <c r="J498" s="17"/>
      <c r="K498" s="17"/>
      <c r="L498" s="17"/>
      <c r="M498" s="17"/>
      <c r="N498" s="17"/>
      <c r="O498" s="17"/>
      <c r="P498" s="17"/>
      <c r="Q498" s="17"/>
    </row>
    <row r="499" spans="10:17" x14ac:dyDescent="0.35">
      <c r="J499" s="17"/>
      <c r="K499" s="17"/>
      <c r="L499" s="17"/>
      <c r="M499" s="17"/>
      <c r="N499" s="17"/>
      <c r="O499" s="17"/>
      <c r="P499" s="17"/>
      <c r="Q499" s="17"/>
    </row>
    <row r="500" spans="10:17" x14ac:dyDescent="0.35">
      <c r="J500" s="17"/>
      <c r="K500" s="17"/>
      <c r="L500" s="17"/>
      <c r="M500" s="17"/>
      <c r="N500" s="17"/>
      <c r="O500" s="17"/>
      <c r="P500" s="17"/>
      <c r="Q500" s="17"/>
    </row>
    <row r="501" spans="10:17" x14ac:dyDescent="0.35">
      <c r="J501" s="17"/>
      <c r="K501" s="17"/>
      <c r="L501" s="17"/>
      <c r="M501" s="17"/>
      <c r="N501" s="17"/>
      <c r="O501" s="17"/>
      <c r="P501" s="17"/>
      <c r="Q501" s="17"/>
    </row>
    <row r="502" spans="10:17" x14ac:dyDescent="0.35">
      <c r="J502" s="17"/>
      <c r="K502" s="17"/>
      <c r="L502" s="17"/>
      <c r="M502" s="17"/>
      <c r="N502" s="17"/>
      <c r="O502" s="17"/>
      <c r="P502" s="17"/>
      <c r="Q502" s="17"/>
    </row>
    <row r="503" spans="10:17" x14ac:dyDescent="0.35">
      <c r="J503" s="17"/>
      <c r="K503" s="17"/>
      <c r="L503" s="17"/>
      <c r="M503" s="17"/>
      <c r="N503" s="17"/>
      <c r="O503" s="17"/>
      <c r="P503" s="17"/>
      <c r="Q503" s="17"/>
    </row>
    <row r="504" spans="10:17" x14ac:dyDescent="0.35">
      <c r="J504" s="17"/>
      <c r="K504" s="17"/>
      <c r="L504" s="17"/>
      <c r="M504" s="17"/>
      <c r="N504" s="17"/>
      <c r="O504" s="17"/>
      <c r="P504" s="17"/>
      <c r="Q504" s="17"/>
    </row>
    <row r="505" spans="10:17" x14ac:dyDescent="0.35">
      <c r="J505" s="17"/>
      <c r="K505" s="17"/>
      <c r="L505" s="17"/>
      <c r="M505" s="17"/>
      <c r="N505" s="17"/>
      <c r="O505" s="17"/>
      <c r="P505" s="17"/>
      <c r="Q505" s="17"/>
    </row>
    <row r="506" spans="10:17" x14ac:dyDescent="0.35">
      <c r="J506" s="17"/>
      <c r="K506" s="17"/>
      <c r="L506" s="17"/>
      <c r="M506" s="17"/>
      <c r="N506" s="17"/>
      <c r="O506" s="17"/>
      <c r="P506" s="17"/>
      <c r="Q506" s="17"/>
    </row>
    <row r="507" spans="10:17" x14ac:dyDescent="0.35">
      <c r="J507" s="17"/>
      <c r="K507" s="17"/>
      <c r="L507" s="17"/>
      <c r="M507" s="17"/>
      <c r="N507" s="17"/>
      <c r="O507" s="17"/>
      <c r="P507" s="17"/>
      <c r="Q507" s="17"/>
    </row>
    <row r="508" spans="10:17" x14ac:dyDescent="0.35">
      <c r="J508" s="17"/>
      <c r="K508" s="17"/>
      <c r="L508" s="17"/>
      <c r="M508" s="17"/>
      <c r="N508" s="17"/>
      <c r="O508" s="17"/>
      <c r="P508" s="17"/>
      <c r="Q508" s="17"/>
    </row>
    <row r="509" spans="10:17" x14ac:dyDescent="0.35">
      <c r="J509" s="17"/>
      <c r="K509" s="17"/>
      <c r="L509" s="17"/>
      <c r="M509" s="17"/>
      <c r="N509" s="17"/>
      <c r="O509" s="17"/>
      <c r="P509" s="17"/>
      <c r="Q509" s="17"/>
    </row>
    <row r="510" spans="10:17" x14ac:dyDescent="0.35">
      <c r="J510" s="17"/>
      <c r="K510" s="17"/>
      <c r="L510" s="17"/>
      <c r="M510" s="17"/>
      <c r="N510" s="17"/>
      <c r="O510" s="17"/>
      <c r="P510" s="17"/>
      <c r="Q510" s="17"/>
    </row>
    <row r="511" spans="10:17" x14ac:dyDescent="0.35">
      <c r="J511" s="17"/>
      <c r="K511" s="17"/>
      <c r="L511" s="17"/>
      <c r="M511" s="17"/>
      <c r="N511" s="17"/>
      <c r="O511" s="17"/>
      <c r="P511" s="17"/>
      <c r="Q511" s="17"/>
    </row>
    <row r="512" spans="10:17" x14ac:dyDescent="0.35">
      <c r="J512" s="17"/>
      <c r="K512" s="17"/>
      <c r="L512" s="17"/>
      <c r="M512" s="17"/>
      <c r="N512" s="17"/>
      <c r="O512" s="17"/>
      <c r="P512" s="17"/>
      <c r="Q512" s="17"/>
    </row>
    <row r="513" spans="10:17" x14ac:dyDescent="0.35">
      <c r="J513" s="17"/>
      <c r="K513" s="17"/>
      <c r="L513" s="17"/>
      <c r="M513" s="17"/>
      <c r="N513" s="17"/>
      <c r="O513" s="17"/>
      <c r="P513" s="17"/>
      <c r="Q513" s="17"/>
    </row>
    <row r="514" spans="10:17" x14ac:dyDescent="0.35">
      <c r="J514" s="17"/>
      <c r="K514" s="17"/>
      <c r="L514" s="17"/>
      <c r="M514" s="17"/>
      <c r="N514" s="17"/>
      <c r="O514" s="17"/>
      <c r="P514" s="17"/>
      <c r="Q514" s="17"/>
    </row>
    <row r="515" spans="10:17" x14ac:dyDescent="0.35">
      <c r="J515" s="17"/>
      <c r="K515" s="17"/>
      <c r="L515" s="17"/>
      <c r="M515" s="17"/>
      <c r="N515" s="17"/>
      <c r="O515" s="17"/>
      <c r="P515" s="17"/>
      <c r="Q515" s="17"/>
    </row>
    <row r="516" spans="10:17" x14ac:dyDescent="0.35">
      <c r="J516" s="17"/>
      <c r="K516" s="17"/>
      <c r="L516" s="17"/>
      <c r="M516" s="17"/>
      <c r="N516" s="17"/>
      <c r="O516" s="17"/>
      <c r="P516" s="17"/>
      <c r="Q516" s="17"/>
    </row>
    <row r="517" spans="10:17" x14ac:dyDescent="0.35">
      <c r="J517" s="17"/>
      <c r="K517" s="17"/>
      <c r="L517" s="17"/>
      <c r="M517" s="17"/>
      <c r="N517" s="17"/>
      <c r="O517" s="17"/>
      <c r="P517" s="17"/>
      <c r="Q517" s="17"/>
    </row>
    <row r="518" spans="10:17" x14ac:dyDescent="0.35">
      <c r="J518" s="17"/>
      <c r="K518" s="17"/>
      <c r="L518" s="17"/>
      <c r="M518" s="17"/>
      <c r="N518" s="17"/>
      <c r="O518" s="17"/>
      <c r="P518" s="17"/>
      <c r="Q518" s="17"/>
    </row>
    <row r="519" spans="10:17" x14ac:dyDescent="0.35">
      <c r="J519" s="17"/>
      <c r="K519" s="17"/>
      <c r="L519" s="17"/>
      <c r="M519" s="17"/>
      <c r="N519" s="17"/>
      <c r="O519" s="17"/>
      <c r="P519" s="17"/>
      <c r="Q519" s="17"/>
    </row>
    <row r="520" spans="10:17" x14ac:dyDescent="0.35">
      <c r="J520" s="17"/>
      <c r="K520" s="17"/>
      <c r="L520" s="17"/>
      <c r="M520" s="17"/>
      <c r="N520" s="17"/>
      <c r="O520" s="17"/>
      <c r="P520" s="17"/>
      <c r="Q520" s="17"/>
    </row>
    <row r="521" spans="10:17" x14ac:dyDescent="0.35">
      <c r="J521" s="17"/>
      <c r="K521" s="17"/>
      <c r="L521" s="17"/>
      <c r="M521" s="17"/>
      <c r="N521" s="17"/>
      <c r="O521" s="17"/>
      <c r="P521" s="17"/>
      <c r="Q521" s="17"/>
    </row>
    <row r="522" spans="10:17" x14ac:dyDescent="0.35">
      <c r="J522" s="17"/>
      <c r="K522" s="17"/>
      <c r="L522" s="17"/>
      <c r="M522" s="17"/>
      <c r="N522" s="17"/>
      <c r="O522" s="17"/>
      <c r="P522" s="17"/>
      <c r="Q522" s="17"/>
    </row>
    <row r="523" spans="10:17" x14ac:dyDescent="0.35">
      <c r="J523" s="17"/>
      <c r="K523" s="17"/>
      <c r="L523" s="17"/>
      <c r="M523" s="17"/>
      <c r="N523" s="17"/>
      <c r="O523" s="17"/>
      <c r="P523" s="17"/>
      <c r="Q523" s="17"/>
    </row>
    <row r="524" spans="10:17" x14ac:dyDescent="0.35">
      <c r="J524" s="17"/>
      <c r="K524" s="17"/>
      <c r="L524" s="17"/>
      <c r="M524" s="17"/>
      <c r="N524" s="17"/>
      <c r="O524" s="17"/>
      <c r="P524" s="17"/>
      <c r="Q524" s="17"/>
    </row>
    <row r="525" spans="10:17" x14ac:dyDescent="0.35">
      <c r="J525" s="17"/>
      <c r="K525" s="17"/>
      <c r="L525" s="17"/>
      <c r="M525" s="17"/>
      <c r="N525" s="17"/>
      <c r="O525" s="17"/>
      <c r="P525" s="17"/>
      <c r="Q525" s="17"/>
    </row>
    <row r="526" spans="10:17" x14ac:dyDescent="0.35">
      <c r="J526" s="17"/>
      <c r="K526" s="17"/>
      <c r="L526" s="17"/>
      <c r="M526" s="17"/>
      <c r="N526" s="17"/>
      <c r="O526" s="17"/>
      <c r="P526" s="17"/>
      <c r="Q526" s="17"/>
    </row>
    <row r="527" spans="10:17" x14ac:dyDescent="0.35">
      <c r="J527" s="17"/>
      <c r="K527" s="17"/>
      <c r="L527" s="17"/>
      <c r="M527" s="17"/>
      <c r="N527" s="17"/>
      <c r="O527" s="17"/>
      <c r="P527" s="17"/>
      <c r="Q527" s="17"/>
    </row>
    <row r="528" spans="10:17" x14ac:dyDescent="0.35">
      <c r="J528" s="17"/>
      <c r="K528" s="17"/>
      <c r="L528" s="17"/>
      <c r="M528" s="17"/>
      <c r="N528" s="17"/>
      <c r="O528" s="17"/>
      <c r="P528" s="17"/>
      <c r="Q528" s="17"/>
    </row>
    <row r="529" spans="10:17" x14ac:dyDescent="0.35">
      <c r="J529" s="17"/>
      <c r="K529" s="17"/>
      <c r="L529" s="17"/>
      <c r="M529" s="17"/>
      <c r="N529" s="17"/>
      <c r="O529" s="17"/>
      <c r="P529" s="17"/>
      <c r="Q529" s="17"/>
    </row>
    <row r="530" spans="10:17" x14ac:dyDescent="0.35">
      <c r="J530" s="17"/>
      <c r="K530" s="17"/>
      <c r="L530" s="17"/>
      <c r="M530" s="17"/>
      <c r="N530" s="17"/>
      <c r="O530" s="17"/>
      <c r="P530" s="17"/>
      <c r="Q530" s="17"/>
    </row>
    <row r="531" spans="10:17" x14ac:dyDescent="0.35">
      <c r="J531" s="17"/>
      <c r="K531" s="17"/>
      <c r="L531" s="17"/>
      <c r="M531" s="17"/>
      <c r="N531" s="17"/>
      <c r="O531" s="17"/>
      <c r="P531" s="17"/>
      <c r="Q531" s="17"/>
    </row>
    <row r="532" spans="10:17" x14ac:dyDescent="0.35">
      <c r="J532" s="17"/>
      <c r="K532" s="17"/>
      <c r="L532" s="17"/>
      <c r="M532" s="17"/>
      <c r="N532" s="17"/>
      <c r="O532" s="17"/>
      <c r="P532" s="17"/>
      <c r="Q532" s="17"/>
    </row>
    <row r="533" spans="10:17" x14ac:dyDescent="0.35">
      <c r="J533" s="17"/>
      <c r="K533" s="17"/>
      <c r="L533" s="17"/>
      <c r="M533" s="17"/>
      <c r="N533" s="17"/>
      <c r="O533" s="17"/>
      <c r="P533" s="17"/>
      <c r="Q533" s="17"/>
    </row>
    <row r="534" spans="10:17" x14ac:dyDescent="0.35">
      <c r="J534" s="17"/>
      <c r="K534" s="17"/>
      <c r="L534" s="17"/>
      <c r="M534" s="17"/>
      <c r="N534" s="17"/>
      <c r="O534" s="17"/>
      <c r="P534" s="17"/>
      <c r="Q534" s="17"/>
    </row>
    <row r="535" spans="10:17" x14ac:dyDescent="0.35">
      <c r="J535" s="17"/>
      <c r="K535" s="17"/>
      <c r="L535" s="17"/>
      <c r="M535" s="17"/>
      <c r="N535" s="17"/>
      <c r="O535" s="17"/>
      <c r="P535" s="17"/>
      <c r="Q535" s="17"/>
    </row>
    <row r="536" spans="10:17" x14ac:dyDescent="0.35">
      <c r="J536" s="17"/>
      <c r="K536" s="17"/>
      <c r="L536" s="17"/>
      <c r="M536" s="17"/>
      <c r="N536" s="17"/>
      <c r="O536" s="17"/>
      <c r="P536" s="17"/>
      <c r="Q536" s="17"/>
    </row>
    <row r="537" spans="10:17" x14ac:dyDescent="0.35">
      <c r="J537" s="17"/>
      <c r="K537" s="17"/>
      <c r="L537" s="17"/>
      <c r="M537" s="17"/>
      <c r="N537" s="17"/>
      <c r="O537" s="17"/>
      <c r="P537" s="17"/>
      <c r="Q537" s="17"/>
    </row>
    <row r="538" spans="10:17" x14ac:dyDescent="0.35">
      <c r="J538" s="17"/>
      <c r="K538" s="17"/>
      <c r="L538" s="17"/>
      <c r="M538" s="17"/>
      <c r="N538" s="17"/>
      <c r="O538" s="17"/>
      <c r="P538" s="17"/>
      <c r="Q538" s="17"/>
    </row>
    <row r="539" spans="10:17" x14ac:dyDescent="0.35">
      <c r="J539" s="17"/>
      <c r="K539" s="17"/>
      <c r="L539" s="17"/>
      <c r="M539" s="17"/>
      <c r="N539" s="17"/>
      <c r="O539" s="17"/>
      <c r="P539" s="17"/>
      <c r="Q539" s="17"/>
    </row>
    <row r="540" spans="10:17" x14ac:dyDescent="0.35">
      <c r="J540" s="17"/>
      <c r="K540" s="17"/>
      <c r="L540" s="17"/>
      <c r="M540" s="17"/>
      <c r="N540" s="17"/>
      <c r="O540" s="17"/>
      <c r="P540" s="17"/>
      <c r="Q540" s="17"/>
    </row>
    <row r="541" spans="10:17" x14ac:dyDescent="0.35">
      <c r="J541" s="17"/>
      <c r="K541" s="17"/>
      <c r="L541" s="17"/>
      <c r="M541" s="17"/>
      <c r="N541" s="17"/>
      <c r="O541" s="17"/>
      <c r="P541" s="17"/>
      <c r="Q541" s="17"/>
    </row>
    <row r="542" spans="10:17" x14ac:dyDescent="0.35">
      <c r="J542" s="17"/>
      <c r="K542" s="17"/>
      <c r="L542" s="17"/>
      <c r="M542" s="17"/>
      <c r="N542" s="17"/>
      <c r="O542" s="17"/>
      <c r="P542" s="17"/>
      <c r="Q542" s="17"/>
    </row>
    <row r="543" spans="10:17" x14ac:dyDescent="0.35">
      <c r="J543" s="17"/>
      <c r="K543" s="17"/>
      <c r="L543" s="17"/>
      <c r="M543" s="17"/>
      <c r="N543" s="17"/>
      <c r="O543" s="17"/>
      <c r="P543" s="17"/>
      <c r="Q543" s="17"/>
    </row>
    <row r="544" spans="10:17" x14ac:dyDescent="0.35">
      <c r="J544" s="17"/>
      <c r="K544" s="17"/>
      <c r="L544" s="17"/>
      <c r="M544" s="17"/>
      <c r="N544" s="17"/>
      <c r="O544" s="17"/>
      <c r="P544" s="17"/>
      <c r="Q544" s="17"/>
    </row>
    <row r="545" spans="10:17" x14ac:dyDescent="0.35">
      <c r="J545" s="17"/>
      <c r="K545" s="17"/>
      <c r="L545" s="17"/>
      <c r="M545" s="17"/>
      <c r="N545" s="17"/>
      <c r="O545" s="17"/>
      <c r="P545" s="17"/>
      <c r="Q545" s="17"/>
    </row>
    <row r="546" spans="10:17" x14ac:dyDescent="0.35">
      <c r="J546" s="17"/>
      <c r="K546" s="17"/>
      <c r="L546" s="17"/>
      <c r="M546" s="17"/>
      <c r="N546" s="17"/>
      <c r="O546" s="17"/>
      <c r="P546" s="17"/>
      <c r="Q546" s="17"/>
    </row>
    <row r="547" spans="10:17" x14ac:dyDescent="0.35">
      <c r="J547" s="17"/>
      <c r="K547" s="17"/>
      <c r="L547" s="17"/>
      <c r="M547" s="17"/>
      <c r="N547" s="17"/>
      <c r="O547" s="17"/>
      <c r="P547" s="17"/>
      <c r="Q547" s="17"/>
    </row>
    <row r="548" spans="10:17" x14ac:dyDescent="0.35">
      <c r="J548" s="17"/>
      <c r="K548" s="17"/>
      <c r="L548" s="17"/>
      <c r="M548" s="17"/>
      <c r="N548" s="17"/>
      <c r="O548" s="17"/>
      <c r="P548" s="17"/>
      <c r="Q548" s="17"/>
    </row>
    <row r="549" spans="10:17" x14ac:dyDescent="0.35">
      <c r="J549" s="17"/>
      <c r="K549" s="17"/>
      <c r="L549" s="17"/>
      <c r="M549" s="17"/>
      <c r="N549" s="17"/>
      <c r="O549" s="17"/>
      <c r="P549" s="17"/>
      <c r="Q549" s="17"/>
    </row>
    <row r="550" spans="10:17" x14ac:dyDescent="0.35">
      <c r="J550" s="17"/>
      <c r="K550" s="17"/>
      <c r="L550" s="17"/>
      <c r="M550" s="17"/>
      <c r="N550" s="17"/>
      <c r="O550" s="17"/>
      <c r="P550" s="17"/>
      <c r="Q550" s="17"/>
    </row>
    <row r="551" spans="10:17" x14ac:dyDescent="0.35">
      <c r="J551" s="17"/>
      <c r="K551" s="17"/>
      <c r="L551" s="17"/>
      <c r="M551" s="17"/>
      <c r="N551" s="17"/>
      <c r="O551" s="17"/>
      <c r="P551" s="17"/>
      <c r="Q551" s="17"/>
    </row>
    <row r="552" spans="10:17" x14ac:dyDescent="0.35">
      <c r="J552" s="17"/>
      <c r="K552" s="17"/>
      <c r="L552" s="17"/>
      <c r="M552" s="17"/>
      <c r="N552" s="17"/>
      <c r="O552" s="17"/>
      <c r="P552" s="17"/>
      <c r="Q552" s="17"/>
    </row>
    <row r="553" spans="10:17" x14ac:dyDescent="0.35">
      <c r="J553" s="17"/>
      <c r="K553" s="17"/>
      <c r="L553" s="17"/>
      <c r="M553" s="17"/>
      <c r="N553" s="17"/>
      <c r="O553" s="17"/>
      <c r="P553" s="17"/>
      <c r="Q553" s="17"/>
    </row>
    <row r="554" spans="10:17" x14ac:dyDescent="0.35">
      <c r="J554" s="17"/>
      <c r="K554" s="17"/>
      <c r="L554" s="17"/>
      <c r="M554" s="17"/>
      <c r="N554" s="17"/>
      <c r="O554" s="17"/>
      <c r="P554" s="17"/>
      <c r="Q554" s="17"/>
    </row>
    <row r="555" spans="10:17" x14ac:dyDescent="0.35">
      <c r="J555" s="17"/>
      <c r="K555" s="17"/>
      <c r="L555" s="17"/>
      <c r="M555" s="17"/>
      <c r="N555" s="17"/>
      <c r="O555" s="17"/>
      <c r="P555" s="17"/>
      <c r="Q555" s="17"/>
    </row>
    <row r="556" spans="10:17" x14ac:dyDescent="0.35">
      <c r="J556" s="17"/>
      <c r="K556" s="17"/>
      <c r="L556" s="17"/>
      <c r="M556" s="17"/>
      <c r="N556" s="17"/>
      <c r="O556" s="17"/>
      <c r="P556" s="17"/>
      <c r="Q556" s="17"/>
    </row>
    <row r="557" spans="10:17" x14ac:dyDescent="0.35">
      <c r="J557" s="17"/>
      <c r="K557" s="17"/>
      <c r="L557" s="17"/>
      <c r="M557" s="17"/>
      <c r="N557" s="17"/>
      <c r="O557" s="17"/>
      <c r="P557" s="17"/>
      <c r="Q557" s="17"/>
    </row>
    <row r="558" spans="10:17" x14ac:dyDescent="0.35">
      <c r="J558" s="17"/>
      <c r="K558" s="17"/>
      <c r="L558" s="17"/>
      <c r="M558" s="17"/>
      <c r="N558" s="17"/>
      <c r="O558" s="17"/>
      <c r="P558" s="17"/>
      <c r="Q558" s="17"/>
    </row>
    <row r="559" spans="10:17" x14ac:dyDescent="0.35">
      <c r="J559" s="17"/>
      <c r="K559" s="17"/>
      <c r="L559" s="17"/>
      <c r="M559" s="17"/>
      <c r="N559" s="17"/>
      <c r="O559" s="17"/>
      <c r="P559" s="17"/>
      <c r="Q559" s="17"/>
    </row>
    <row r="560" spans="10:17" x14ac:dyDescent="0.35">
      <c r="J560" s="17"/>
      <c r="K560" s="17"/>
      <c r="L560" s="17"/>
      <c r="M560" s="17"/>
      <c r="N560" s="17"/>
      <c r="O560" s="17"/>
      <c r="P560" s="17"/>
      <c r="Q560" s="17"/>
    </row>
    <row r="561" spans="10:17" x14ac:dyDescent="0.35">
      <c r="J561" s="17"/>
      <c r="K561" s="17"/>
      <c r="L561" s="17"/>
      <c r="M561" s="17"/>
      <c r="N561" s="17"/>
      <c r="O561" s="17"/>
      <c r="P561" s="17"/>
      <c r="Q561" s="17"/>
    </row>
    <row r="562" spans="10:17" x14ac:dyDescent="0.35">
      <c r="J562" s="17"/>
      <c r="K562" s="17"/>
      <c r="L562" s="17"/>
      <c r="M562" s="17"/>
      <c r="N562" s="17"/>
      <c r="O562" s="17"/>
      <c r="P562" s="17"/>
      <c r="Q562" s="17"/>
    </row>
    <row r="563" spans="10:17" x14ac:dyDescent="0.35">
      <c r="J563" s="17"/>
      <c r="K563" s="17"/>
      <c r="L563" s="17"/>
      <c r="M563" s="17"/>
      <c r="N563" s="17"/>
      <c r="O563" s="17"/>
      <c r="P563" s="17"/>
      <c r="Q563" s="17"/>
    </row>
    <row r="564" spans="10:17" x14ac:dyDescent="0.35">
      <c r="J564" s="17"/>
      <c r="K564" s="17"/>
      <c r="L564" s="17"/>
      <c r="M564" s="17"/>
      <c r="N564" s="17"/>
      <c r="O564" s="17"/>
      <c r="P564" s="17"/>
      <c r="Q564" s="17"/>
    </row>
    <row r="565" spans="10:17" x14ac:dyDescent="0.35">
      <c r="J565" s="17"/>
      <c r="K565" s="17"/>
      <c r="L565" s="17"/>
      <c r="M565" s="17"/>
      <c r="N565" s="17"/>
      <c r="O565" s="17"/>
      <c r="P565" s="17"/>
      <c r="Q565" s="17"/>
    </row>
    <row r="566" spans="10:17" x14ac:dyDescent="0.35">
      <c r="J566" s="17"/>
      <c r="K566" s="17"/>
      <c r="L566" s="17"/>
      <c r="M566" s="17"/>
      <c r="N566" s="17"/>
      <c r="O566" s="17"/>
      <c r="P566" s="17"/>
      <c r="Q566" s="17"/>
    </row>
    <row r="567" spans="10:17" x14ac:dyDescent="0.35">
      <c r="J567" s="17"/>
      <c r="K567" s="17"/>
      <c r="L567" s="17"/>
      <c r="M567" s="17"/>
      <c r="N567" s="17"/>
      <c r="O567" s="17"/>
      <c r="P567" s="17"/>
      <c r="Q567" s="17"/>
    </row>
    <row r="568" spans="10:17" x14ac:dyDescent="0.35">
      <c r="J568" s="17"/>
      <c r="K568" s="17"/>
      <c r="L568" s="17"/>
      <c r="M568" s="17"/>
      <c r="N568" s="17"/>
      <c r="O568" s="17"/>
      <c r="P568" s="17"/>
      <c r="Q568" s="17"/>
    </row>
    <row r="569" spans="10:17" x14ac:dyDescent="0.35">
      <c r="J569" s="17"/>
      <c r="K569" s="17"/>
      <c r="L569" s="17"/>
      <c r="M569" s="17"/>
      <c r="N569" s="17"/>
      <c r="O569" s="17"/>
      <c r="P569" s="17"/>
      <c r="Q569" s="17"/>
    </row>
    <row r="570" spans="10:17" x14ac:dyDescent="0.35">
      <c r="J570" s="17"/>
      <c r="K570" s="17"/>
      <c r="L570" s="17"/>
      <c r="M570" s="17"/>
      <c r="N570" s="17"/>
      <c r="O570" s="17"/>
      <c r="P570" s="17"/>
      <c r="Q570" s="17"/>
    </row>
    <row r="571" spans="10:17" x14ac:dyDescent="0.35">
      <c r="J571" s="17"/>
      <c r="K571" s="17"/>
      <c r="L571" s="17"/>
      <c r="M571" s="17"/>
      <c r="N571" s="17"/>
      <c r="O571" s="17"/>
      <c r="P571" s="17"/>
      <c r="Q571" s="17"/>
    </row>
    <row r="572" spans="10:17" x14ac:dyDescent="0.35">
      <c r="J572" s="17"/>
      <c r="K572" s="17"/>
      <c r="L572" s="17"/>
      <c r="M572" s="17"/>
      <c r="N572" s="17"/>
      <c r="O572" s="17"/>
      <c r="P572" s="17"/>
      <c r="Q572" s="17"/>
    </row>
    <row r="573" spans="10:17" x14ac:dyDescent="0.35">
      <c r="J573" s="17"/>
      <c r="K573" s="17"/>
      <c r="L573" s="17"/>
      <c r="M573" s="17"/>
      <c r="N573" s="17"/>
      <c r="O573" s="17"/>
      <c r="P573" s="17"/>
      <c r="Q573" s="17"/>
    </row>
    <row r="574" spans="10:17" x14ac:dyDescent="0.35">
      <c r="J574" s="17"/>
      <c r="K574" s="17"/>
      <c r="L574" s="17"/>
      <c r="M574" s="17"/>
      <c r="N574" s="17"/>
      <c r="O574" s="17"/>
      <c r="P574" s="17"/>
      <c r="Q574" s="17"/>
    </row>
    <row r="575" spans="10:17" x14ac:dyDescent="0.35">
      <c r="J575" s="17"/>
      <c r="K575" s="17"/>
      <c r="L575" s="17"/>
      <c r="M575" s="17"/>
      <c r="N575" s="17"/>
      <c r="O575" s="17"/>
      <c r="P575" s="17"/>
      <c r="Q575" s="17"/>
    </row>
    <row r="576" spans="10:17" x14ac:dyDescent="0.35">
      <c r="J576" s="17"/>
      <c r="K576" s="17"/>
      <c r="L576" s="17"/>
      <c r="M576" s="17"/>
      <c r="N576" s="17"/>
      <c r="O576" s="17"/>
      <c r="P576" s="17"/>
      <c r="Q576" s="17"/>
    </row>
    <row r="577" spans="10:17" x14ac:dyDescent="0.35">
      <c r="J577" s="17"/>
      <c r="K577" s="17"/>
      <c r="L577" s="17"/>
      <c r="M577" s="17"/>
      <c r="N577" s="17"/>
      <c r="O577" s="17"/>
      <c r="P577" s="17"/>
      <c r="Q577" s="17"/>
    </row>
    <row r="578" spans="10:17" x14ac:dyDescent="0.35">
      <c r="J578" s="17"/>
      <c r="K578" s="17"/>
      <c r="L578" s="17"/>
      <c r="M578" s="17"/>
      <c r="N578" s="17"/>
      <c r="O578" s="17"/>
      <c r="P578" s="17"/>
      <c r="Q578" s="17"/>
    </row>
    <row r="579" spans="10:17" x14ac:dyDescent="0.35">
      <c r="J579" s="17"/>
      <c r="K579" s="17"/>
      <c r="L579" s="17"/>
      <c r="M579" s="17"/>
      <c r="N579" s="17"/>
      <c r="O579" s="17"/>
      <c r="P579" s="17"/>
      <c r="Q579" s="17"/>
    </row>
    <row r="580" spans="10:17" x14ac:dyDescent="0.35">
      <c r="J580" s="17"/>
      <c r="K580" s="17"/>
      <c r="L580" s="17"/>
      <c r="M580" s="17"/>
      <c r="N580" s="17"/>
      <c r="O580" s="17"/>
      <c r="P580" s="17"/>
      <c r="Q580" s="17"/>
    </row>
    <row r="581" spans="10:17" x14ac:dyDescent="0.35">
      <c r="J581" s="17"/>
      <c r="K581" s="17"/>
      <c r="L581" s="17"/>
      <c r="M581" s="17"/>
      <c r="N581" s="17"/>
      <c r="O581" s="17"/>
      <c r="P581" s="17"/>
      <c r="Q581" s="17"/>
    </row>
    <row r="582" spans="10:17" x14ac:dyDescent="0.35">
      <c r="J582" s="17"/>
      <c r="K582" s="17"/>
      <c r="L582" s="17"/>
      <c r="M582" s="17"/>
      <c r="N582" s="17"/>
      <c r="O582" s="17"/>
      <c r="P582" s="17"/>
      <c r="Q582" s="17"/>
    </row>
    <row r="583" spans="10:17" x14ac:dyDescent="0.35">
      <c r="J583" s="17"/>
      <c r="K583" s="17"/>
      <c r="L583" s="17"/>
      <c r="M583" s="17"/>
      <c r="N583" s="17"/>
      <c r="O583" s="17"/>
      <c r="P583" s="17"/>
      <c r="Q583" s="17"/>
    </row>
    <row r="584" spans="10:17" x14ac:dyDescent="0.35">
      <c r="J584" s="17"/>
      <c r="K584" s="17"/>
      <c r="L584" s="17"/>
      <c r="M584" s="17"/>
      <c r="N584" s="17"/>
      <c r="O584" s="17"/>
      <c r="P584" s="17"/>
      <c r="Q584" s="17"/>
    </row>
    <row r="585" spans="10:17" x14ac:dyDescent="0.35">
      <c r="J585" s="17"/>
      <c r="K585" s="17"/>
      <c r="L585" s="17"/>
      <c r="M585" s="17"/>
      <c r="N585" s="17"/>
      <c r="O585" s="17"/>
      <c r="P585" s="17"/>
      <c r="Q585" s="17"/>
    </row>
    <row r="586" spans="10:17" x14ac:dyDescent="0.35">
      <c r="J586" s="17"/>
      <c r="K586" s="17"/>
      <c r="L586" s="17"/>
      <c r="M586" s="17"/>
      <c r="N586" s="17"/>
      <c r="O586" s="17"/>
      <c r="P586" s="17"/>
      <c r="Q586" s="17"/>
    </row>
    <row r="587" spans="10:17" x14ac:dyDescent="0.35">
      <c r="J587" s="17"/>
      <c r="K587" s="17"/>
      <c r="L587" s="17"/>
      <c r="M587" s="17"/>
      <c r="N587" s="17"/>
      <c r="O587" s="17"/>
      <c r="P587" s="17"/>
      <c r="Q587" s="17"/>
    </row>
    <row r="588" spans="10:17" x14ac:dyDescent="0.35">
      <c r="J588" s="17"/>
      <c r="K588" s="17"/>
      <c r="L588" s="17"/>
      <c r="M588" s="17"/>
      <c r="N588" s="17"/>
      <c r="O588" s="17"/>
      <c r="P588" s="17"/>
      <c r="Q588" s="17"/>
    </row>
    <row r="589" spans="10:17" x14ac:dyDescent="0.35">
      <c r="J589" s="17"/>
      <c r="K589" s="17"/>
      <c r="L589" s="17"/>
      <c r="M589" s="17"/>
      <c r="N589" s="17"/>
      <c r="O589" s="17"/>
      <c r="P589" s="17"/>
      <c r="Q589" s="17"/>
    </row>
    <row r="590" spans="10:17" x14ac:dyDescent="0.35">
      <c r="J590" s="17"/>
      <c r="K590" s="17"/>
      <c r="L590" s="17"/>
      <c r="M590" s="17"/>
      <c r="N590" s="17"/>
      <c r="O590" s="17"/>
      <c r="P590" s="17"/>
      <c r="Q590" s="17"/>
    </row>
    <row r="591" spans="10:17" x14ac:dyDescent="0.35">
      <c r="J591" s="17"/>
      <c r="K591" s="17"/>
      <c r="L591" s="17"/>
      <c r="M591" s="17"/>
      <c r="N591" s="17"/>
      <c r="O591" s="17"/>
      <c r="P591" s="17"/>
      <c r="Q591" s="17"/>
    </row>
    <row r="592" spans="10:17" x14ac:dyDescent="0.35">
      <c r="J592" s="17"/>
      <c r="K592" s="17"/>
      <c r="L592" s="17"/>
      <c r="M592" s="17"/>
      <c r="N592" s="17"/>
      <c r="O592" s="17"/>
      <c r="P592" s="17"/>
      <c r="Q592" s="17"/>
    </row>
    <row r="593" spans="10:17" x14ac:dyDescent="0.35">
      <c r="J593" s="17"/>
      <c r="K593" s="17"/>
      <c r="L593" s="17"/>
      <c r="M593" s="17"/>
      <c r="N593" s="17"/>
      <c r="O593" s="17"/>
      <c r="P593" s="17"/>
      <c r="Q593" s="17"/>
    </row>
    <row r="594" spans="10:17" x14ac:dyDescent="0.35">
      <c r="J594" s="17"/>
      <c r="K594" s="17"/>
      <c r="L594" s="17"/>
      <c r="M594" s="17"/>
      <c r="N594" s="17"/>
      <c r="O594" s="17"/>
      <c r="P594" s="17"/>
      <c r="Q594" s="17"/>
    </row>
    <row r="595" spans="10:17" x14ac:dyDescent="0.35">
      <c r="J595" s="17"/>
      <c r="K595" s="17"/>
      <c r="L595" s="17"/>
      <c r="M595" s="17"/>
      <c r="N595" s="17"/>
      <c r="O595" s="17"/>
      <c r="P595" s="17"/>
      <c r="Q595" s="17"/>
    </row>
    <row r="596" spans="10:17" x14ac:dyDescent="0.35">
      <c r="J596" s="17"/>
      <c r="K596" s="17"/>
      <c r="L596" s="17"/>
      <c r="M596" s="17"/>
      <c r="N596" s="17"/>
      <c r="O596" s="17"/>
      <c r="P596" s="17"/>
      <c r="Q596" s="17"/>
    </row>
    <row r="597" spans="10:17" x14ac:dyDescent="0.35">
      <c r="J597" s="17"/>
      <c r="K597" s="17"/>
      <c r="L597" s="17"/>
      <c r="M597" s="17"/>
      <c r="N597" s="17"/>
      <c r="O597" s="17"/>
      <c r="P597" s="17"/>
      <c r="Q597" s="17"/>
    </row>
    <row r="598" spans="10:17" x14ac:dyDescent="0.35">
      <c r="J598" s="17"/>
      <c r="K598" s="17"/>
      <c r="L598" s="17"/>
      <c r="M598" s="17"/>
      <c r="N598" s="17"/>
      <c r="O598" s="17"/>
      <c r="P598" s="17"/>
      <c r="Q598" s="17"/>
    </row>
    <row r="599" spans="10:17" x14ac:dyDescent="0.35">
      <c r="J599" s="17"/>
      <c r="K599" s="17"/>
      <c r="L599" s="17"/>
      <c r="M599" s="17"/>
      <c r="N599" s="17"/>
      <c r="O599" s="17"/>
      <c r="P599" s="17"/>
      <c r="Q599" s="17"/>
    </row>
    <row r="600" spans="10:17" x14ac:dyDescent="0.35">
      <c r="J600" s="17"/>
      <c r="K600" s="17"/>
      <c r="L600" s="17"/>
      <c r="M600" s="17"/>
      <c r="N600" s="17"/>
      <c r="O600" s="17"/>
      <c r="P600" s="17"/>
      <c r="Q600" s="17"/>
    </row>
    <row r="601" spans="10:17" x14ac:dyDescent="0.35">
      <c r="J601" s="17"/>
      <c r="K601" s="17"/>
      <c r="L601" s="17"/>
      <c r="M601" s="17"/>
      <c r="N601" s="17"/>
      <c r="O601" s="17"/>
      <c r="P601" s="17"/>
      <c r="Q601" s="17"/>
    </row>
    <row r="602" spans="10:17" x14ac:dyDescent="0.35">
      <c r="J602" s="17"/>
      <c r="K602" s="17"/>
      <c r="L602" s="17"/>
      <c r="M602" s="17"/>
      <c r="N602" s="17"/>
      <c r="O602" s="17"/>
      <c r="P602" s="17"/>
      <c r="Q602" s="17"/>
    </row>
    <row r="603" spans="10:17" x14ac:dyDescent="0.35">
      <c r="J603" s="17"/>
      <c r="K603" s="17"/>
      <c r="L603" s="17"/>
      <c r="M603" s="17"/>
      <c r="N603" s="17"/>
      <c r="O603" s="17"/>
      <c r="P603" s="17"/>
      <c r="Q603" s="17"/>
    </row>
    <row r="604" spans="10:17" x14ac:dyDescent="0.35">
      <c r="J604" s="17"/>
      <c r="K604" s="17"/>
      <c r="L604" s="17"/>
      <c r="M604" s="17"/>
      <c r="N604" s="17"/>
      <c r="O604" s="17"/>
      <c r="P604" s="17"/>
      <c r="Q604" s="17"/>
    </row>
    <row r="605" spans="10:17" x14ac:dyDescent="0.35">
      <c r="J605" s="17"/>
      <c r="K605" s="17"/>
      <c r="L605" s="17"/>
      <c r="M605" s="17"/>
      <c r="N605" s="17"/>
      <c r="O605" s="17"/>
      <c r="P605" s="17"/>
      <c r="Q605" s="17"/>
    </row>
    <row r="606" spans="10:17" x14ac:dyDescent="0.35">
      <c r="J606" s="17"/>
      <c r="K606" s="17"/>
      <c r="L606" s="17"/>
      <c r="M606" s="17"/>
      <c r="N606" s="17"/>
      <c r="O606" s="17"/>
      <c r="P606" s="17"/>
      <c r="Q606" s="17"/>
    </row>
    <row r="607" spans="10:17" x14ac:dyDescent="0.35">
      <c r="J607" s="17"/>
      <c r="K607" s="17"/>
      <c r="L607" s="17"/>
      <c r="M607" s="17"/>
      <c r="N607" s="17"/>
      <c r="O607" s="17"/>
      <c r="P607" s="17"/>
      <c r="Q607" s="17"/>
    </row>
    <row r="608" spans="10:17" x14ac:dyDescent="0.35">
      <c r="J608" s="17"/>
      <c r="K608" s="17"/>
      <c r="L608" s="17"/>
      <c r="M608" s="17"/>
      <c r="N608" s="17"/>
      <c r="O608" s="17"/>
      <c r="P608" s="17"/>
      <c r="Q608" s="17"/>
    </row>
    <row r="609" spans="10:17" x14ac:dyDescent="0.35">
      <c r="J609" s="17"/>
      <c r="K609" s="17"/>
      <c r="L609" s="17"/>
      <c r="M609" s="17"/>
      <c r="N609" s="17"/>
      <c r="O609" s="17"/>
      <c r="P609" s="17"/>
      <c r="Q609" s="17"/>
    </row>
    <row r="610" spans="10:17" x14ac:dyDescent="0.35">
      <c r="J610" s="17"/>
      <c r="K610" s="17"/>
      <c r="L610" s="17"/>
      <c r="M610" s="17"/>
      <c r="N610" s="17"/>
      <c r="O610" s="17"/>
      <c r="P610" s="17"/>
      <c r="Q610" s="17"/>
    </row>
    <row r="611" spans="10:17" x14ac:dyDescent="0.35">
      <c r="J611" s="17"/>
      <c r="K611" s="17"/>
      <c r="L611" s="17"/>
      <c r="M611" s="17"/>
      <c r="N611" s="17"/>
      <c r="O611" s="17"/>
      <c r="P611" s="17"/>
      <c r="Q611" s="17"/>
    </row>
    <row r="612" spans="10:17" x14ac:dyDescent="0.35">
      <c r="J612" s="17"/>
      <c r="K612" s="17"/>
      <c r="L612" s="17"/>
      <c r="M612" s="17"/>
      <c r="N612" s="17"/>
      <c r="O612" s="17"/>
      <c r="P612" s="17"/>
      <c r="Q612" s="17"/>
    </row>
    <row r="613" spans="10:17" x14ac:dyDescent="0.35">
      <c r="J613" s="17"/>
      <c r="K613" s="17"/>
      <c r="L613" s="17"/>
      <c r="M613" s="17"/>
      <c r="N613" s="17"/>
      <c r="O613" s="17"/>
      <c r="P613" s="17"/>
      <c r="Q613" s="17"/>
    </row>
    <row r="614" spans="10:17" x14ac:dyDescent="0.35">
      <c r="J614" s="17"/>
      <c r="K614" s="17"/>
      <c r="L614" s="17"/>
      <c r="M614" s="17"/>
      <c r="N614" s="17"/>
      <c r="O614" s="17"/>
      <c r="P614" s="17"/>
      <c r="Q614" s="17"/>
    </row>
    <row r="615" spans="10:17" x14ac:dyDescent="0.35">
      <c r="J615" s="17"/>
      <c r="K615" s="17"/>
      <c r="L615" s="17"/>
      <c r="M615" s="17"/>
      <c r="N615" s="17"/>
      <c r="O615" s="17"/>
      <c r="P615" s="17"/>
      <c r="Q615" s="17"/>
    </row>
    <row r="616" spans="10:17" x14ac:dyDescent="0.35">
      <c r="J616" s="17"/>
      <c r="K616" s="17"/>
      <c r="L616" s="17"/>
      <c r="M616" s="17"/>
      <c r="N616" s="17"/>
      <c r="O616" s="17"/>
      <c r="P616" s="17"/>
      <c r="Q616" s="17"/>
    </row>
    <row r="617" spans="10:17" x14ac:dyDescent="0.35">
      <c r="J617" s="17"/>
      <c r="K617" s="17"/>
      <c r="L617" s="17"/>
      <c r="M617" s="17"/>
      <c r="N617" s="17"/>
      <c r="O617" s="17"/>
      <c r="P617" s="17"/>
      <c r="Q617" s="17"/>
    </row>
    <row r="618" spans="10:17" x14ac:dyDescent="0.35">
      <c r="J618" s="17"/>
      <c r="K618" s="17"/>
      <c r="L618" s="17"/>
      <c r="M618" s="17"/>
      <c r="N618" s="17"/>
      <c r="O618" s="17"/>
      <c r="P618" s="17"/>
      <c r="Q618" s="17"/>
    </row>
    <row r="619" spans="10:17" x14ac:dyDescent="0.35">
      <c r="J619" s="17"/>
      <c r="K619" s="17"/>
      <c r="L619" s="17"/>
      <c r="M619" s="17"/>
      <c r="N619" s="17"/>
      <c r="O619" s="17"/>
      <c r="P619" s="17"/>
      <c r="Q619" s="17"/>
    </row>
    <row r="620" spans="10:17" x14ac:dyDescent="0.35">
      <c r="J620" s="17"/>
      <c r="K620" s="17"/>
      <c r="L620" s="17"/>
      <c r="M620" s="17"/>
      <c r="N620" s="17"/>
      <c r="O620" s="17"/>
      <c r="P620" s="17"/>
      <c r="Q620" s="17"/>
    </row>
    <row r="621" spans="10:17" x14ac:dyDescent="0.35">
      <c r="J621" s="17"/>
      <c r="K621" s="17"/>
      <c r="L621" s="17"/>
      <c r="M621" s="17"/>
      <c r="N621" s="17"/>
      <c r="O621" s="17"/>
      <c r="P621" s="17"/>
      <c r="Q621" s="17"/>
    </row>
    <row r="622" spans="10:17" x14ac:dyDescent="0.35">
      <c r="J622" s="17"/>
      <c r="K622" s="17"/>
      <c r="L622" s="17"/>
      <c r="M622" s="17"/>
      <c r="N622" s="17"/>
      <c r="O622" s="17"/>
      <c r="P622" s="17"/>
      <c r="Q622" s="17"/>
    </row>
    <row r="623" spans="10:17" x14ac:dyDescent="0.35">
      <c r="J623" s="17"/>
      <c r="K623" s="17"/>
      <c r="L623" s="17"/>
      <c r="M623" s="17"/>
      <c r="N623" s="17"/>
      <c r="O623" s="17"/>
      <c r="P623" s="17"/>
      <c r="Q623" s="17"/>
    </row>
    <row r="624" spans="10:17" x14ac:dyDescent="0.35">
      <c r="J624" s="17"/>
      <c r="K624" s="17"/>
      <c r="L624" s="17"/>
      <c r="M624" s="17"/>
      <c r="N624" s="17"/>
      <c r="O624" s="17"/>
      <c r="P624" s="17"/>
      <c r="Q624" s="17"/>
    </row>
    <row r="625" spans="10:17" x14ac:dyDescent="0.35">
      <c r="J625" s="17"/>
      <c r="K625" s="17"/>
      <c r="L625" s="17"/>
      <c r="M625" s="17"/>
      <c r="N625" s="17"/>
      <c r="O625" s="17"/>
      <c r="P625" s="17"/>
      <c r="Q625" s="17"/>
    </row>
    <row r="626" spans="10:17" x14ac:dyDescent="0.35">
      <c r="J626" s="17"/>
      <c r="K626" s="17"/>
      <c r="L626" s="17"/>
      <c r="M626" s="17"/>
      <c r="N626" s="17"/>
      <c r="O626" s="17"/>
      <c r="P626" s="17"/>
      <c r="Q626" s="17"/>
    </row>
    <row r="627" spans="10:17" x14ac:dyDescent="0.35">
      <c r="J627" s="17"/>
      <c r="K627" s="17"/>
      <c r="L627" s="17"/>
      <c r="M627" s="17"/>
      <c r="N627" s="17"/>
      <c r="O627" s="17"/>
      <c r="P627" s="17"/>
      <c r="Q627" s="17"/>
    </row>
    <row r="628" spans="10:17" x14ac:dyDescent="0.35">
      <c r="J628" s="17"/>
      <c r="K628" s="17"/>
      <c r="L628" s="17"/>
      <c r="M628" s="17"/>
      <c r="N628" s="17"/>
      <c r="O628" s="17"/>
      <c r="P628" s="17"/>
      <c r="Q628" s="17"/>
    </row>
    <row r="629" spans="10:17" x14ac:dyDescent="0.35">
      <c r="J629" s="17"/>
      <c r="K629" s="17"/>
      <c r="L629" s="17"/>
      <c r="M629" s="17"/>
      <c r="N629" s="17"/>
      <c r="O629" s="17"/>
      <c r="P629" s="17"/>
      <c r="Q629" s="17"/>
    </row>
    <row r="630" spans="10:17" x14ac:dyDescent="0.35">
      <c r="J630" s="17"/>
      <c r="K630" s="17"/>
      <c r="L630" s="17"/>
      <c r="M630" s="17"/>
      <c r="N630" s="17"/>
      <c r="O630" s="17"/>
      <c r="P630" s="17"/>
      <c r="Q630" s="17"/>
    </row>
    <row r="631" spans="10:17" x14ac:dyDescent="0.35">
      <c r="J631" s="17"/>
      <c r="K631" s="17"/>
      <c r="L631" s="17"/>
      <c r="M631" s="17"/>
      <c r="N631" s="17"/>
      <c r="O631" s="17"/>
      <c r="P631" s="17"/>
      <c r="Q631" s="17"/>
    </row>
    <row r="632" spans="10:17" x14ac:dyDescent="0.35">
      <c r="J632" s="17"/>
      <c r="K632" s="17"/>
      <c r="L632" s="17"/>
      <c r="M632" s="17"/>
      <c r="N632" s="17"/>
      <c r="O632" s="17"/>
      <c r="P632" s="17"/>
      <c r="Q632" s="17"/>
    </row>
    <row r="633" spans="10:17" x14ac:dyDescent="0.35">
      <c r="J633" s="17"/>
      <c r="K633" s="17"/>
      <c r="L633" s="17"/>
      <c r="M633" s="17"/>
      <c r="N633" s="17"/>
      <c r="O633" s="17"/>
      <c r="P633" s="17"/>
      <c r="Q633" s="17"/>
    </row>
    <row r="634" spans="10:17" x14ac:dyDescent="0.35">
      <c r="J634" s="17"/>
      <c r="K634" s="17"/>
      <c r="L634" s="17"/>
      <c r="M634" s="17"/>
      <c r="N634" s="17"/>
      <c r="O634" s="17"/>
      <c r="P634" s="17"/>
      <c r="Q634" s="17"/>
    </row>
    <row r="635" spans="10:17" x14ac:dyDescent="0.35">
      <c r="J635" s="17"/>
      <c r="K635" s="17"/>
      <c r="L635" s="17"/>
      <c r="M635" s="17"/>
      <c r="N635" s="17"/>
      <c r="O635" s="17"/>
      <c r="P635" s="17"/>
      <c r="Q635" s="17"/>
    </row>
    <row r="636" spans="10:17" x14ac:dyDescent="0.35">
      <c r="J636" s="17"/>
      <c r="K636" s="17"/>
      <c r="L636" s="17"/>
      <c r="M636" s="17"/>
      <c r="N636" s="17"/>
      <c r="O636" s="17"/>
      <c r="P636" s="17"/>
      <c r="Q636" s="17"/>
    </row>
    <row r="637" spans="10:17" x14ac:dyDescent="0.35">
      <c r="J637" s="17"/>
      <c r="K637" s="17"/>
      <c r="L637" s="17"/>
      <c r="M637" s="17"/>
      <c r="N637" s="17"/>
      <c r="O637" s="17"/>
      <c r="P637" s="17"/>
      <c r="Q637" s="17"/>
    </row>
    <row r="638" spans="10:17" x14ac:dyDescent="0.35">
      <c r="J638" s="17"/>
      <c r="K638" s="17"/>
      <c r="L638" s="17"/>
      <c r="M638" s="17"/>
      <c r="N638" s="17"/>
      <c r="O638" s="17"/>
      <c r="P638" s="17"/>
      <c r="Q638" s="17"/>
    </row>
    <row r="639" spans="10:17" x14ac:dyDescent="0.35">
      <c r="J639" s="17"/>
      <c r="K639" s="17"/>
      <c r="L639" s="17"/>
      <c r="M639" s="17"/>
      <c r="N639" s="17"/>
      <c r="O639" s="17"/>
      <c r="P639" s="17"/>
      <c r="Q639" s="17"/>
    </row>
    <row r="640" spans="10:17" x14ac:dyDescent="0.35">
      <c r="J640" s="17"/>
      <c r="K640" s="17"/>
      <c r="L640" s="17"/>
      <c r="M640" s="17"/>
      <c r="N640" s="17"/>
      <c r="O640" s="17"/>
      <c r="P640" s="17"/>
      <c r="Q640" s="17"/>
    </row>
    <row r="641" spans="10:17" x14ac:dyDescent="0.35">
      <c r="J641" s="17"/>
      <c r="K641" s="17"/>
      <c r="L641" s="17"/>
      <c r="M641" s="17"/>
      <c r="N641" s="17"/>
      <c r="O641" s="17"/>
      <c r="P641" s="17"/>
      <c r="Q641" s="17"/>
    </row>
    <row r="642" spans="10:17" x14ac:dyDescent="0.35">
      <c r="J642" s="17"/>
      <c r="K642" s="17"/>
      <c r="L642" s="17"/>
      <c r="M642" s="17"/>
      <c r="N642" s="17"/>
      <c r="O642" s="17"/>
      <c r="P642" s="17"/>
      <c r="Q642" s="17"/>
    </row>
    <row r="643" spans="10:17" x14ac:dyDescent="0.35">
      <c r="J643" s="17"/>
      <c r="K643" s="17"/>
      <c r="L643" s="17"/>
      <c r="M643" s="17"/>
      <c r="N643" s="17"/>
      <c r="O643" s="17"/>
      <c r="P643" s="17"/>
      <c r="Q643" s="17"/>
    </row>
    <row r="644" spans="10:17" x14ac:dyDescent="0.35">
      <c r="J644" s="17"/>
      <c r="K644" s="17"/>
      <c r="L644" s="17"/>
      <c r="M644" s="17"/>
      <c r="N644" s="17"/>
      <c r="O644" s="17"/>
      <c r="P644" s="17"/>
      <c r="Q644" s="17"/>
    </row>
    <row r="645" spans="10:17" x14ac:dyDescent="0.35">
      <c r="J645" s="17"/>
      <c r="K645" s="17"/>
      <c r="L645" s="17"/>
      <c r="M645" s="17"/>
      <c r="N645" s="17"/>
      <c r="O645" s="17"/>
      <c r="P645" s="17"/>
      <c r="Q645" s="17"/>
    </row>
    <row r="646" spans="10:17" x14ac:dyDescent="0.35">
      <c r="J646" s="17"/>
      <c r="K646" s="17"/>
      <c r="L646" s="17"/>
      <c r="M646" s="17"/>
      <c r="N646" s="17"/>
      <c r="O646" s="17"/>
      <c r="P646" s="17"/>
      <c r="Q646" s="17"/>
    </row>
    <row r="647" spans="10:17" x14ac:dyDescent="0.35">
      <c r="J647" s="17"/>
      <c r="K647" s="17"/>
      <c r="L647" s="17"/>
      <c r="M647" s="17"/>
      <c r="N647" s="17"/>
      <c r="O647" s="17"/>
      <c r="P647" s="17"/>
      <c r="Q647" s="17"/>
    </row>
    <row r="648" spans="10:17" x14ac:dyDescent="0.35">
      <c r="J648" s="17"/>
      <c r="K648" s="17"/>
      <c r="L648" s="17"/>
      <c r="M648" s="17"/>
      <c r="N648" s="17"/>
      <c r="O648" s="17"/>
      <c r="P648" s="17"/>
      <c r="Q648" s="17"/>
    </row>
    <row r="649" spans="10:17" x14ac:dyDescent="0.35">
      <c r="J649" s="17"/>
      <c r="K649" s="17"/>
      <c r="L649" s="17"/>
      <c r="M649" s="17"/>
      <c r="N649" s="17"/>
      <c r="O649" s="17"/>
      <c r="P649" s="17"/>
      <c r="Q649" s="17"/>
    </row>
    <row r="650" spans="10:17" x14ac:dyDescent="0.35">
      <c r="J650" s="17"/>
      <c r="K650" s="17"/>
      <c r="L650" s="17"/>
      <c r="M650" s="17"/>
      <c r="N650" s="17"/>
      <c r="O650" s="17"/>
      <c r="P650" s="17"/>
      <c r="Q650" s="17"/>
    </row>
    <row r="651" spans="10:17" x14ac:dyDescent="0.35">
      <c r="J651" s="17"/>
      <c r="K651" s="17"/>
      <c r="L651" s="17"/>
      <c r="M651" s="17"/>
      <c r="N651" s="17"/>
      <c r="O651" s="17"/>
      <c r="P651" s="17"/>
      <c r="Q651" s="17"/>
    </row>
    <row r="652" spans="10:17" x14ac:dyDescent="0.35">
      <c r="J652" s="17"/>
      <c r="K652" s="17"/>
      <c r="L652" s="17"/>
      <c r="M652" s="17"/>
      <c r="N652" s="17"/>
      <c r="O652" s="17"/>
      <c r="P652" s="17"/>
      <c r="Q652" s="17"/>
    </row>
    <row r="653" spans="10:17" x14ac:dyDescent="0.35">
      <c r="J653" s="17"/>
      <c r="K653" s="17"/>
      <c r="L653" s="17"/>
      <c r="M653" s="17"/>
      <c r="N653" s="17"/>
      <c r="O653" s="17"/>
      <c r="P653" s="17"/>
      <c r="Q653" s="17"/>
    </row>
    <row r="654" spans="10:17" x14ac:dyDescent="0.35">
      <c r="J654" s="17"/>
      <c r="K654" s="17"/>
      <c r="L654" s="17"/>
      <c r="M654" s="17"/>
      <c r="N654" s="17"/>
      <c r="O654" s="17"/>
      <c r="P654" s="17"/>
      <c r="Q654" s="17"/>
    </row>
    <row r="655" spans="10:17" x14ac:dyDescent="0.35">
      <c r="J655" s="17"/>
      <c r="K655" s="17"/>
      <c r="L655" s="17"/>
      <c r="M655" s="17"/>
      <c r="N655" s="17"/>
      <c r="O655" s="17"/>
      <c r="P655" s="17"/>
      <c r="Q655" s="17"/>
    </row>
    <row r="656" spans="10:17" x14ac:dyDescent="0.35">
      <c r="J656" s="17"/>
      <c r="K656" s="17"/>
      <c r="L656" s="17"/>
      <c r="M656" s="17"/>
      <c r="N656" s="17"/>
      <c r="O656" s="17"/>
      <c r="P656" s="17"/>
      <c r="Q656" s="17"/>
    </row>
    <row r="657" spans="10:17" x14ac:dyDescent="0.35">
      <c r="J657" s="17"/>
      <c r="K657" s="17"/>
      <c r="L657" s="17"/>
      <c r="M657" s="17"/>
      <c r="N657" s="17"/>
      <c r="O657" s="17"/>
      <c r="P657" s="17"/>
      <c r="Q657" s="17"/>
    </row>
    <row r="658" spans="10:17" x14ac:dyDescent="0.35">
      <c r="J658" s="17"/>
      <c r="K658" s="17"/>
      <c r="L658" s="17"/>
      <c r="M658" s="17"/>
      <c r="N658" s="17"/>
      <c r="O658" s="17"/>
      <c r="P658" s="17"/>
      <c r="Q658" s="17"/>
    </row>
    <row r="659" spans="10:17" x14ac:dyDescent="0.35">
      <c r="J659" s="17"/>
      <c r="K659" s="17"/>
      <c r="L659" s="17"/>
      <c r="M659" s="17"/>
      <c r="N659" s="17"/>
      <c r="O659" s="17"/>
      <c r="P659" s="17"/>
      <c r="Q659" s="17"/>
    </row>
    <row r="660" spans="10:17" x14ac:dyDescent="0.35">
      <c r="J660" s="17"/>
      <c r="K660" s="17"/>
      <c r="L660" s="17"/>
      <c r="M660" s="17"/>
      <c r="N660" s="17"/>
      <c r="O660" s="17"/>
      <c r="P660" s="17"/>
      <c r="Q660" s="17"/>
    </row>
    <row r="661" spans="10:17" x14ac:dyDescent="0.35">
      <c r="J661" s="17"/>
      <c r="K661" s="17"/>
      <c r="L661" s="17"/>
      <c r="M661" s="17"/>
      <c r="N661" s="17"/>
      <c r="O661" s="17"/>
      <c r="P661" s="17"/>
      <c r="Q661" s="17"/>
    </row>
    <row r="662" spans="10:17" x14ac:dyDescent="0.35">
      <c r="J662" s="17"/>
      <c r="K662" s="17"/>
      <c r="L662" s="17"/>
      <c r="M662" s="17"/>
      <c r="N662" s="17"/>
      <c r="O662" s="17"/>
      <c r="P662" s="17"/>
      <c r="Q662" s="17"/>
    </row>
    <row r="663" spans="10:17" x14ac:dyDescent="0.35">
      <c r="J663" s="17"/>
      <c r="K663" s="17"/>
      <c r="L663" s="17"/>
      <c r="M663" s="17"/>
      <c r="N663" s="17"/>
      <c r="O663" s="17"/>
      <c r="P663" s="17"/>
      <c r="Q663" s="17"/>
    </row>
    <row r="664" spans="10:17" x14ac:dyDescent="0.35">
      <c r="J664" s="17"/>
      <c r="K664" s="17"/>
      <c r="L664" s="17"/>
      <c r="M664" s="17"/>
      <c r="N664" s="17"/>
      <c r="O664" s="17"/>
      <c r="P664" s="17"/>
      <c r="Q664" s="17"/>
    </row>
    <row r="665" spans="10:17" x14ac:dyDescent="0.35">
      <c r="J665" s="17"/>
      <c r="K665" s="17"/>
      <c r="L665" s="17"/>
      <c r="M665" s="17"/>
      <c r="N665" s="17"/>
      <c r="O665" s="17"/>
      <c r="P665" s="17"/>
      <c r="Q665" s="17"/>
    </row>
    <row r="666" spans="10:17" x14ac:dyDescent="0.35">
      <c r="J666" s="17"/>
      <c r="K666" s="17"/>
      <c r="L666" s="17"/>
      <c r="M666" s="17"/>
      <c r="N666" s="17"/>
      <c r="O666" s="17"/>
      <c r="P666" s="17"/>
      <c r="Q666" s="17"/>
    </row>
    <row r="667" spans="10:17" x14ac:dyDescent="0.35">
      <c r="J667" s="17"/>
      <c r="K667" s="17"/>
      <c r="L667" s="17"/>
      <c r="M667" s="17"/>
      <c r="N667" s="17"/>
      <c r="O667" s="17"/>
      <c r="P667" s="17"/>
      <c r="Q667" s="17"/>
    </row>
    <row r="668" spans="10:17" x14ac:dyDescent="0.35">
      <c r="J668" s="17"/>
      <c r="K668" s="17"/>
      <c r="L668" s="17"/>
      <c r="M668" s="17"/>
      <c r="N668" s="17"/>
      <c r="O668" s="17"/>
      <c r="P668" s="17"/>
      <c r="Q668" s="17"/>
    </row>
    <row r="669" spans="10:17" x14ac:dyDescent="0.35">
      <c r="J669" s="17"/>
      <c r="K669" s="17"/>
      <c r="L669" s="17"/>
      <c r="M669" s="17"/>
      <c r="N669" s="17"/>
      <c r="O669" s="17"/>
      <c r="P669" s="17"/>
      <c r="Q669" s="17"/>
    </row>
    <row r="670" spans="10:17" x14ac:dyDescent="0.35">
      <c r="J670" s="17"/>
      <c r="K670" s="17"/>
      <c r="L670" s="17"/>
      <c r="M670" s="17"/>
      <c r="N670" s="17"/>
      <c r="O670" s="17"/>
      <c r="P670" s="17"/>
      <c r="Q670" s="17"/>
    </row>
    <row r="671" spans="10:17" x14ac:dyDescent="0.35">
      <c r="J671" s="17"/>
      <c r="K671" s="17"/>
      <c r="L671" s="17"/>
      <c r="M671" s="17"/>
      <c r="N671" s="17"/>
      <c r="O671" s="17"/>
      <c r="P671" s="17"/>
      <c r="Q671" s="17"/>
    </row>
    <row r="672" spans="10:17" x14ac:dyDescent="0.35">
      <c r="J672" s="17"/>
      <c r="K672" s="17"/>
      <c r="L672" s="17"/>
      <c r="M672" s="17"/>
      <c r="N672" s="17"/>
      <c r="O672" s="17"/>
      <c r="P672" s="17"/>
      <c r="Q672" s="17"/>
    </row>
    <row r="673" spans="10:17" x14ac:dyDescent="0.35">
      <c r="J673" s="17"/>
      <c r="K673" s="17"/>
      <c r="L673" s="17"/>
      <c r="M673" s="17"/>
      <c r="N673" s="17"/>
      <c r="O673" s="17"/>
      <c r="P673" s="17"/>
      <c r="Q673" s="17"/>
    </row>
    <row r="674" spans="10:17" x14ac:dyDescent="0.35">
      <c r="J674" s="17"/>
      <c r="K674" s="17"/>
      <c r="L674" s="17"/>
      <c r="M674" s="17"/>
      <c r="N674" s="17"/>
      <c r="O674" s="17"/>
      <c r="P674" s="17"/>
      <c r="Q674" s="17"/>
    </row>
    <row r="675" spans="10:17" x14ac:dyDescent="0.35">
      <c r="J675" s="17"/>
      <c r="K675" s="17"/>
      <c r="L675" s="17"/>
      <c r="M675" s="17"/>
      <c r="N675" s="17"/>
      <c r="O675" s="17"/>
      <c r="P675" s="17"/>
      <c r="Q675" s="17"/>
    </row>
    <row r="676" spans="10:17" x14ac:dyDescent="0.35">
      <c r="J676" s="17"/>
      <c r="K676" s="17"/>
      <c r="L676" s="17"/>
      <c r="M676" s="17"/>
      <c r="N676" s="17"/>
      <c r="O676" s="17"/>
      <c r="P676" s="17"/>
      <c r="Q676" s="17"/>
    </row>
    <row r="677" spans="10:17" x14ac:dyDescent="0.35">
      <c r="J677" s="17"/>
      <c r="K677" s="17"/>
      <c r="L677" s="17"/>
      <c r="M677" s="17"/>
      <c r="N677" s="17"/>
      <c r="O677" s="17"/>
      <c r="P677" s="17"/>
      <c r="Q677" s="17"/>
    </row>
    <row r="678" spans="10:17" x14ac:dyDescent="0.35">
      <c r="J678" s="17"/>
      <c r="K678" s="17"/>
      <c r="L678" s="17"/>
      <c r="M678" s="17"/>
      <c r="N678" s="17"/>
      <c r="O678" s="17"/>
      <c r="P678" s="17"/>
      <c r="Q678" s="17"/>
    </row>
    <row r="679" spans="10:17" x14ac:dyDescent="0.35">
      <c r="J679" s="17"/>
      <c r="K679" s="17"/>
      <c r="L679" s="17"/>
      <c r="M679" s="17"/>
      <c r="N679" s="17"/>
      <c r="O679" s="17"/>
      <c r="P679" s="17"/>
      <c r="Q679" s="17"/>
    </row>
    <row r="680" spans="10:17" x14ac:dyDescent="0.35">
      <c r="J680" s="17"/>
      <c r="K680" s="17"/>
      <c r="L680" s="17"/>
      <c r="M680" s="17"/>
      <c r="N680" s="17"/>
      <c r="O680" s="17"/>
      <c r="P680" s="17"/>
      <c r="Q680" s="17"/>
    </row>
    <row r="681" spans="10:17" x14ac:dyDescent="0.35">
      <c r="J681" s="17"/>
      <c r="K681" s="17"/>
      <c r="L681" s="17"/>
      <c r="M681" s="17"/>
      <c r="N681" s="17"/>
      <c r="O681" s="17"/>
      <c r="P681" s="17"/>
      <c r="Q681" s="17"/>
    </row>
    <row r="682" spans="10:17" x14ac:dyDescent="0.35">
      <c r="J682" s="17"/>
      <c r="K682" s="17"/>
      <c r="L682" s="17"/>
      <c r="M682" s="17"/>
      <c r="N682" s="17"/>
      <c r="O682" s="17"/>
      <c r="P682" s="17"/>
      <c r="Q682" s="17"/>
    </row>
    <row r="683" spans="10:17" x14ac:dyDescent="0.35">
      <c r="J683" s="17"/>
      <c r="K683" s="17"/>
      <c r="L683" s="17"/>
      <c r="M683" s="17"/>
      <c r="N683" s="17"/>
      <c r="O683" s="17"/>
      <c r="P683" s="17"/>
      <c r="Q683" s="17"/>
    </row>
    <row r="684" spans="10:17" x14ac:dyDescent="0.35">
      <c r="J684" s="17"/>
      <c r="K684" s="17"/>
      <c r="L684" s="17"/>
      <c r="M684" s="17"/>
      <c r="N684" s="17"/>
      <c r="O684" s="17"/>
      <c r="P684" s="17"/>
      <c r="Q684" s="17"/>
    </row>
    <row r="685" spans="10:17" x14ac:dyDescent="0.35">
      <c r="J685" s="17"/>
      <c r="K685" s="17"/>
      <c r="L685" s="17"/>
      <c r="M685" s="17"/>
      <c r="N685" s="17"/>
      <c r="O685" s="17"/>
      <c r="P685" s="17"/>
      <c r="Q685" s="17"/>
    </row>
    <row r="686" spans="10:17" x14ac:dyDescent="0.35">
      <c r="J686" s="17"/>
      <c r="K686" s="17"/>
      <c r="L686" s="17"/>
      <c r="M686" s="17"/>
      <c r="N686" s="17"/>
      <c r="O686" s="17"/>
      <c r="P686" s="17"/>
      <c r="Q686" s="17"/>
    </row>
    <row r="687" spans="10:17" x14ac:dyDescent="0.35">
      <c r="J687" s="17"/>
      <c r="K687" s="17"/>
      <c r="L687" s="17"/>
      <c r="M687" s="17"/>
      <c r="N687" s="17"/>
      <c r="O687" s="17"/>
      <c r="P687" s="17"/>
      <c r="Q687" s="17"/>
    </row>
    <row r="688" spans="10:17" x14ac:dyDescent="0.35">
      <c r="J688" s="17"/>
      <c r="K688" s="17"/>
      <c r="L688" s="17"/>
      <c r="M688" s="17"/>
      <c r="N688" s="17"/>
      <c r="O688" s="17"/>
      <c r="P688" s="17"/>
      <c r="Q688" s="17"/>
    </row>
    <row r="689" spans="10:17" x14ac:dyDescent="0.35">
      <c r="J689" s="17"/>
      <c r="K689" s="17"/>
      <c r="L689" s="17"/>
      <c r="M689" s="17"/>
      <c r="N689" s="17"/>
      <c r="O689" s="17"/>
      <c r="P689" s="17"/>
      <c r="Q689" s="17"/>
    </row>
    <row r="690" spans="10:17" x14ac:dyDescent="0.35">
      <c r="J690" s="17"/>
      <c r="K690" s="17"/>
      <c r="L690" s="17"/>
      <c r="M690" s="17"/>
      <c r="N690" s="17"/>
      <c r="O690" s="17"/>
      <c r="P690" s="17"/>
      <c r="Q690" s="17"/>
    </row>
    <row r="691" spans="10:17" x14ac:dyDescent="0.35">
      <c r="J691" s="17"/>
      <c r="K691" s="17"/>
      <c r="L691" s="17"/>
      <c r="M691" s="17"/>
      <c r="N691" s="17"/>
      <c r="O691" s="17"/>
      <c r="P691" s="17"/>
      <c r="Q691" s="17"/>
    </row>
    <row r="692" spans="10:17" x14ac:dyDescent="0.35">
      <c r="J692" s="17"/>
      <c r="K692" s="17"/>
      <c r="L692" s="17"/>
      <c r="M692" s="17"/>
      <c r="N692" s="17"/>
      <c r="O692" s="17"/>
      <c r="P692" s="17"/>
      <c r="Q692" s="17"/>
    </row>
    <row r="693" spans="10:17" x14ac:dyDescent="0.35">
      <c r="J693" s="17"/>
      <c r="K693" s="17"/>
      <c r="L693" s="17"/>
      <c r="M693" s="17"/>
      <c r="N693" s="17"/>
      <c r="O693" s="17"/>
      <c r="P693" s="17"/>
      <c r="Q693" s="17"/>
    </row>
    <row r="694" spans="10:17" x14ac:dyDescent="0.35">
      <c r="J694" s="17"/>
      <c r="K694" s="17"/>
      <c r="L694" s="17"/>
      <c r="M694" s="17"/>
      <c r="N694" s="17"/>
      <c r="O694" s="17"/>
      <c r="P694" s="17"/>
      <c r="Q694" s="17"/>
    </row>
    <row r="695" spans="10:17" x14ac:dyDescent="0.35">
      <c r="J695" s="17"/>
      <c r="K695" s="17"/>
      <c r="L695" s="17"/>
      <c r="M695" s="17"/>
      <c r="N695" s="17"/>
      <c r="O695" s="17"/>
      <c r="P695" s="17"/>
      <c r="Q695" s="17"/>
    </row>
    <row r="696" spans="10:17" x14ac:dyDescent="0.35">
      <c r="J696" s="17"/>
      <c r="K696" s="17"/>
      <c r="L696" s="17"/>
      <c r="M696" s="17"/>
      <c r="N696" s="17"/>
      <c r="O696" s="17"/>
      <c r="P696" s="17"/>
      <c r="Q696" s="17"/>
    </row>
    <row r="697" spans="10:17" x14ac:dyDescent="0.35">
      <c r="J697" s="17"/>
      <c r="K697" s="17"/>
      <c r="L697" s="17"/>
      <c r="M697" s="17"/>
      <c r="N697" s="17"/>
      <c r="O697" s="17"/>
      <c r="P697" s="17"/>
      <c r="Q697" s="17"/>
    </row>
    <row r="698" spans="10:17" x14ac:dyDescent="0.35">
      <c r="J698" s="17"/>
      <c r="K698" s="17"/>
      <c r="L698" s="17"/>
      <c r="M698" s="17"/>
      <c r="N698" s="17"/>
      <c r="O698" s="17"/>
      <c r="P698" s="17"/>
      <c r="Q698" s="17"/>
    </row>
    <row r="699" spans="10:17" x14ac:dyDescent="0.35">
      <c r="J699" s="17"/>
      <c r="K699" s="17"/>
      <c r="L699" s="17"/>
      <c r="M699" s="17"/>
      <c r="N699" s="17"/>
      <c r="O699" s="17"/>
      <c r="P699" s="17"/>
      <c r="Q699" s="17"/>
    </row>
    <row r="700" spans="10:17" x14ac:dyDescent="0.35">
      <c r="J700" s="17"/>
      <c r="K700" s="17"/>
      <c r="L700" s="17"/>
      <c r="M700" s="17"/>
      <c r="N700" s="17"/>
      <c r="O700" s="17"/>
      <c r="P700" s="17"/>
      <c r="Q700" s="17"/>
    </row>
    <row r="701" spans="10:17" x14ac:dyDescent="0.35">
      <c r="J701" s="17"/>
      <c r="K701" s="17"/>
      <c r="L701" s="17"/>
      <c r="M701" s="17"/>
      <c r="N701" s="17"/>
      <c r="O701" s="17"/>
      <c r="P701" s="17"/>
      <c r="Q701" s="17"/>
    </row>
    <row r="702" spans="10:17" x14ac:dyDescent="0.35">
      <c r="J702" s="17"/>
      <c r="K702" s="17"/>
      <c r="L702" s="17"/>
      <c r="M702" s="17"/>
      <c r="N702" s="17"/>
      <c r="O702" s="17"/>
      <c r="P702" s="17"/>
      <c r="Q702" s="17"/>
    </row>
    <row r="703" spans="10:17" x14ac:dyDescent="0.35">
      <c r="J703" s="17"/>
      <c r="K703" s="17"/>
      <c r="L703" s="17"/>
      <c r="M703" s="17"/>
      <c r="N703" s="17"/>
      <c r="O703" s="17"/>
      <c r="P703" s="17"/>
      <c r="Q703" s="17"/>
    </row>
    <row r="704" spans="10:17" x14ac:dyDescent="0.35">
      <c r="J704" s="17"/>
      <c r="K704" s="17"/>
      <c r="L704" s="17"/>
      <c r="M704" s="17"/>
      <c r="N704" s="17"/>
      <c r="O704" s="17"/>
      <c r="P704" s="17"/>
      <c r="Q704" s="17"/>
    </row>
    <row r="705" spans="10:17" x14ac:dyDescent="0.35">
      <c r="J705" s="17"/>
      <c r="K705" s="17"/>
      <c r="L705" s="17"/>
      <c r="M705" s="17"/>
      <c r="N705" s="17"/>
      <c r="O705" s="17"/>
      <c r="P705" s="17"/>
      <c r="Q705" s="17"/>
    </row>
    <row r="706" spans="10:17" x14ac:dyDescent="0.35">
      <c r="J706" s="17"/>
      <c r="K706" s="17"/>
      <c r="L706" s="17"/>
      <c r="M706" s="17"/>
      <c r="N706" s="17"/>
      <c r="O706" s="17"/>
      <c r="P706" s="17"/>
      <c r="Q706" s="17"/>
    </row>
    <row r="707" spans="10:17" x14ac:dyDescent="0.35">
      <c r="J707" s="17"/>
      <c r="K707" s="17"/>
      <c r="L707" s="17"/>
      <c r="M707" s="17"/>
      <c r="N707" s="17"/>
      <c r="O707" s="17"/>
      <c r="P707" s="17"/>
      <c r="Q707" s="17"/>
    </row>
    <row r="708" spans="10:17" x14ac:dyDescent="0.35">
      <c r="J708" s="17"/>
      <c r="K708" s="17"/>
      <c r="L708" s="17"/>
      <c r="M708" s="17"/>
      <c r="N708" s="17"/>
      <c r="O708" s="17"/>
      <c r="P708" s="17"/>
      <c r="Q708" s="17"/>
    </row>
    <row r="709" spans="10:17" x14ac:dyDescent="0.35">
      <c r="J709" s="17"/>
      <c r="K709" s="17"/>
      <c r="L709" s="17"/>
      <c r="M709" s="17"/>
      <c r="N709" s="17"/>
      <c r="O709" s="17"/>
      <c r="P709" s="17"/>
      <c r="Q709" s="17"/>
    </row>
    <row r="710" spans="10:17" x14ac:dyDescent="0.35">
      <c r="J710" s="17"/>
      <c r="K710" s="17"/>
      <c r="L710" s="17"/>
      <c r="M710" s="17"/>
      <c r="N710" s="17"/>
      <c r="O710" s="17"/>
      <c r="P710" s="17"/>
      <c r="Q710" s="17"/>
    </row>
    <row r="711" spans="10:17" x14ac:dyDescent="0.35">
      <c r="J711" s="17"/>
      <c r="K711" s="17"/>
      <c r="L711" s="17"/>
      <c r="M711" s="17"/>
      <c r="N711" s="17"/>
      <c r="O711" s="17"/>
      <c r="P711" s="17"/>
      <c r="Q711" s="17"/>
    </row>
    <row r="712" spans="10:17" x14ac:dyDescent="0.35">
      <c r="J712" s="17"/>
      <c r="K712" s="17"/>
      <c r="L712" s="17"/>
      <c r="M712" s="17"/>
      <c r="N712" s="17"/>
      <c r="O712" s="17"/>
      <c r="P712" s="17"/>
      <c r="Q712" s="17"/>
    </row>
    <row r="713" spans="10:17" x14ac:dyDescent="0.35">
      <c r="J713" s="17"/>
      <c r="K713" s="17"/>
      <c r="L713" s="17"/>
      <c r="M713" s="17"/>
      <c r="N713" s="17"/>
      <c r="O713" s="17"/>
      <c r="P713" s="17"/>
      <c r="Q713" s="17"/>
    </row>
    <row r="714" spans="10:17" x14ac:dyDescent="0.35">
      <c r="J714" s="17"/>
      <c r="K714" s="17"/>
      <c r="L714" s="17"/>
      <c r="M714" s="17"/>
      <c r="N714" s="17"/>
      <c r="O714" s="17"/>
      <c r="P714" s="17"/>
      <c r="Q714" s="17"/>
    </row>
    <row r="715" spans="10:17" x14ac:dyDescent="0.35">
      <c r="J715" s="17"/>
      <c r="K715" s="17"/>
      <c r="L715" s="17"/>
      <c r="M715" s="17"/>
      <c r="N715" s="17"/>
      <c r="O715" s="17"/>
      <c r="P715" s="17"/>
      <c r="Q715" s="17"/>
    </row>
    <row r="716" spans="10:17" x14ac:dyDescent="0.35">
      <c r="J716" s="17"/>
      <c r="K716" s="17"/>
      <c r="L716" s="17"/>
      <c r="M716" s="17"/>
      <c r="N716" s="17"/>
      <c r="O716" s="17"/>
      <c r="P716" s="17"/>
      <c r="Q716" s="17"/>
    </row>
    <row r="717" spans="10:17" x14ac:dyDescent="0.35">
      <c r="J717" s="17"/>
      <c r="K717" s="17"/>
      <c r="L717" s="17"/>
      <c r="M717" s="17"/>
      <c r="N717" s="17"/>
      <c r="O717" s="17"/>
      <c r="P717" s="17"/>
      <c r="Q717" s="17"/>
    </row>
    <row r="718" spans="10:17" x14ac:dyDescent="0.35">
      <c r="J718" s="17"/>
      <c r="K718" s="17"/>
      <c r="L718" s="17"/>
      <c r="M718" s="17"/>
      <c r="N718" s="17"/>
      <c r="O718" s="17"/>
      <c r="P718" s="17"/>
      <c r="Q718" s="17"/>
    </row>
    <row r="719" spans="10:17" x14ac:dyDescent="0.35">
      <c r="J719" s="17"/>
      <c r="K719" s="17"/>
      <c r="L719" s="17"/>
      <c r="M719" s="17"/>
      <c r="N719" s="17"/>
      <c r="O719" s="17"/>
      <c r="P719" s="17"/>
      <c r="Q719" s="17"/>
    </row>
    <row r="720" spans="10:17" x14ac:dyDescent="0.35">
      <c r="J720" s="17"/>
      <c r="K720" s="17"/>
      <c r="L720" s="17"/>
      <c r="M720" s="17"/>
      <c r="N720" s="17"/>
      <c r="O720" s="17"/>
      <c r="P720" s="17"/>
      <c r="Q720" s="17"/>
    </row>
    <row r="721" spans="10:17" x14ac:dyDescent="0.35">
      <c r="J721" s="17"/>
      <c r="K721" s="17"/>
      <c r="L721" s="17"/>
      <c r="M721" s="17"/>
      <c r="N721" s="17"/>
      <c r="O721" s="17"/>
      <c r="P721" s="17"/>
      <c r="Q721" s="17"/>
    </row>
    <row r="722" spans="10:17" x14ac:dyDescent="0.35">
      <c r="J722" s="17"/>
      <c r="K722" s="17"/>
      <c r="L722" s="17"/>
      <c r="M722" s="17"/>
      <c r="N722" s="17"/>
      <c r="O722" s="17"/>
      <c r="P722" s="17"/>
      <c r="Q722" s="17"/>
    </row>
    <row r="723" spans="10:17" x14ac:dyDescent="0.35">
      <c r="J723" s="17"/>
      <c r="K723" s="17"/>
      <c r="L723" s="17"/>
      <c r="M723" s="17"/>
      <c r="N723" s="17"/>
      <c r="O723" s="17"/>
      <c r="P723" s="17"/>
      <c r="Q723" s="17"/>
    </row>
    <row r="724" spans="10:17" x14ac:dyDescent="0.35">
      <c r="J724" s="17"/>
      <c r="K724" s="17"/>
      <c r="L724" s="17"/>
      <c r="M724" s="17"/>
      <c r="N724" s="17"/>
      <c r="O724" s="17"/>
      <c r="P724" s="17"/>
      <c r="Q724" s="17"/>
    </row>
    <row r="725" spans="10:17" x14ac:dyDescent="0.35">
      <c r="J725" s="17"/>
      <c r="K725" s="17"/>
      <c r="L725" s="17"/>
      <c r="M725" s="17"/>
      <c r="N725" s="17"/>
      <c r="O725" s="17"/>
      <c r="P725" s="17"/>
      <c r="Q725" s="17"/>
    </row>
    <row r="726" spans="10:17" x14ac:dyDescent="0.35">
      <c r="J726" s="17"/>
      <c r="K726" s="17"/>
      <c r="L726" s="17"/>
      <c r="M726" s="17"/>
      <c r="N726" s="17"/>
      <c r="O726" s="17"/>
      <c r="P726" s="17"/>
      <c r="Q726" s="17"/>
    </row>
    <row r="727" spans="10:17" x14ac:dyDescent="0.35">
      <c r="J727" s="17"/>
      <c r="K727" s="17"/>
      <c r="L727" s="17"/>
      <c r="M727" s="17"/>
      <c r="N727" s="17"/>
      <c r="O727" s="17"/>
      <c r="P727" s="17"/>
      <c r="Q727" s="17"/>
    </row>
    <row r="728" spans="10:17" x14ac:dyDescent="0.35">
      <c r="J728" s="17"/>
      <c r="K728" s="17"/>
      <c r="L728" s="17"/>
      <c r="M728" s="17"/>
      <c r="N728" s="17"/>
      <c r="O728" s="17"/>
      <c r="P728" s="17"/>
      <c r="Q728" s="17"/>
    </row>
    <row r="729" spans="10:17" x14ac:dyDescent="0.35">
      <c r="J729" s="17"/>
      <c r="K729" s="17"/>
      <c r="L729" s="17"/>
      <c r="M729" s="17"/>
      <c r="N729" s="17"/>
      <c r="O729" s="17"/>
      <c r="P729" s="17"/>
      <c r="Q729" s="17"/>
    </row>
    <row r="730" spans="10:17" x14ac:dyDescent="0.35">
      <c r="J730" s="17"/>
      <c r="K730" s="17"/>
      <c r="L730" s="17"/>
      <c r="M730" s="17"/>
      <c r="N730" s="17"/>
      <c r="O730" s="17"/>
      <c r="P730" s="17"/>
      <c r="Q730" s="17"/>
    </row>
    <row r="731" spans="10:17" x14ac:dyDescent="0.35">
      <c r="J731" s="17"/>
      <c r="K731" s="17"/>
      <c r="L731" s="17"/>
      <c r="M731" s="17"/>
      <c r="N731" s="17"/>
      <c r="O731" s="17"/>
      <c r="P731" s="17"/>
      <c r="Q731" s="17"/>
    </row>
    <row r="732" spans="10:17" x14ac:dyDescent="0.35">
      <c r="J732" s="17"/>
      <c r="K732" s="17"/>
      <c r="L732" s="17"/>
      <c r="M732" s="17"/>
      <c r="N732" s="17"/>
      <c r="O732" s="17"/>
      <c r="P732" s="17"/>
      <c r="Q732" s="17"/>
    </row>
    <row r="733" spans="10:17" x14ac:dyDescent="0.35">
      <c r="J733" s="17"/>
      <c r="K733" s="17"/>
      <c r="L733" s="17"/>
      <c r="M733" s="17"/>
      <c r="N733" s="17"/>
      <c r="O733" s="17"/>
      <c r="P733" s="17"/>
      <c r="Q733" s="17"/>
    </row>
    <row r="734" spans="10:17" x14ac:dyDescent="0.35">
      <c r="J734" s="17"/>
      <c r="K734" s="17"/>
      <c r="L734" s="17"/>
      <c r="M734" s="17"/>
      <c r="N734" s="17"/>
      <c r="O734" s="17"/>
      <c r="P734" s="17"/>
      <c r="Q734" s="17"/>
    </row>
    <row r="735" spans="10:17" x14ac:dyDescent="0.35">
      <c r="J735" s="17"/>
      <c r="K735" s="17"/>
      <c r="L735" s="17"/>
      <c r="M735" s="17"/>
      <c r="N735" s="17"/>
      <c r="O735" s="17"/>
      <c r="P735" s="17"/>
      <c r="Q735" s="17"/>
    </row>
    <row r="736" spans="10:17" x14ac:dyDescent="0.35">
      <c r="J736" s="17"/>
      <c r="K736" s="17"/>
      <c r="L736" s="17"/>
      <c r="M736" s="17"/>
      <c r="N736" s="17"/>
      <c r="O736" s="17"/>
      <c r="P736" s="17"/>
      <c r="Q736" s="17"/>
    </row>
    <row r="737" spans="10:17" x14ac:dyDescent="0.35">
      <c r="J737" s="17"/>
      <c r="K737" s="17"/>
      <c r="L737" s="17"/>
      <c r="M737" s="17"/>
      <c r="N737" s="17"/>
      <c r="O737" s="17"/>
      <c r="P737" s="17"/>
      <c r="Q737" s="17"/>
    </row>
    <row r="738" spans="10:17" x14ac:dyDescent="0.35">
      <c r="J738" s="17"/>
      <c r="K738" s="17"/>
      <c r="L738" s="17"/>
      <c r="M738" s="17"/>
      <c r="N738" s="17"/>
      <c r="O738" s="17"/>
      <c r="P738" s="17"/>
      <c r="Q738" s="17"/>
    </row>
    <row r="739" spans="10:17" x14ac:dyDescent="0.35">
      <c r="J739" s="17"/>
      <c r="K739" s="17"/>
      <c r="L739" s="17"/>
      <c r="M739" s="17"/>
      <c r="N739" s="17"/>
      <c r="O739" s="17"/>
      <c r="P739" s="17"/>
      <c r="Q739" s="17"/>
    </row>
    <row r="740" spans="10:17" x14ac:dyDescent="0.35">
      <c r="J740" s="17"/>
      <c r="K740" s="17"/>
      <c r="L740" s="17"/>
      <c r="M740" s="17"/>
      <c r="N740" s="17"/>
      <c r="O740" s="17"/>
      <c r="P740" s="17"/>
      <c r="Q740" s="17"/>
    </row>
    <row r="741" spans="10:17" x14ac:dyDescent="0.35">
      <c r="J741" s="17"/>
      <c r="K741" s="17"/>
      <c r="L741" s="17"/>
      <c r="M741" s="17"/>
      <c r="N741" s="17"/>
      <c r="O741" s="17"/>
      <c r="P741" s="17"/>
      <c r="Q741" s="17"/>
    </row>
    <row r="742" spans="10:17" x14ac:dyDescent="0.35">
      <c r="J742" s="17"/>
      <c r="K742" s="17"/>
      <c r="L742" s="17"/>
      <c r="M742" s="17"/>
      <c r="N742" s="17"/>
      <c r="O742" s="17"/>
      <c r="P742" s="17"/>
      <c r="Q742" s="17"/>
    </row>
    <row r="743" spans="10:17" x14ac:dyDescent="0.35">
      <c r="J743" s="17"/>
      <c r="K743" s="17"/>
      <c r="L743" s="17"/>
      <c r="M743" s="17"/>
      <c r="N743" s="17"/>
      <c r="O743" s="17"/>
      <c r="P743" s="17"/>
      <c r="Q743" s="17"/>
    </row>
    <row r="744" spans="10:17" x14ac:dyDescent="0.35">
      <c r="J744" s="17"/>
      <c r="K744" s="17"/>
      <c r="L744" s="17"/>
      <c r="M744" s="17"/>
      <c r="N744" s="17"/>
      <c r="O744" s="17"/>
      <c r="P744" s="17"/>
      <c r="Q744" s="17"/>
    </row>
    <row r="745" spans="10:17" x14ac:dyDescent="0.35">
      <c r="J745" s="17"/>
      <c r="K745" s="17"/>
      <c r="L745" s="17"/>
      <c r="M745" s="17"/>
      <c r="N745" s="17"/>
      <c r="O745" s="17"/>
      <c r="P745" s="17"/>
      <c r="Q745" s="17"/>
    </row>
    <row r="746" spans="10:17" x14ac:dyDescent="0.35">
      <c r="J746" s="17"/>
      <c r="K746" s="17"/>
      <c r="L746" s="17"/>
      <c r="M746" s="17"/>
      <c r="N746" s="17"/>
      <c r="O746" s="17"/>
      <c r="P746" s="17"/>
      <c r="Q746" s="17"/>
    </row>
    <row r="747" spans="10:17" x14ac:dyDescent="0.35">
      <c r="J747" s="17"/>
      <c r="K747" s="17"/>
      <c r="L747" s="17"/>
      <c r="M747" s="17"/>
      <c r="N747" s="17"/>
      <c r="O747" s="17"/>
      <c r="P747" s="17"/>
      <c r="Q747" s="17"/>
    </row>
    <row r="748" spans="10:17" x14ac:dyDescent="0.35">
      <c r="J748" s="17"/>
      <c r="K748" s="17"/>
      <c r="L748" s="17"/>
      <c r="M748" s="17"/>
      <c r="N748" s="17"/>
      <c r="O748" s="17"/>
      <c r="P748" s="17"/>
      <c r="Q748" s="17"/>
    </row>
    <row r="749" spans="10:17" x14ac:dyDescent="0.35">
      <c r="J749" s="17"/>
      <c r="K749" s="17"/>
      <c r="L749" s="17"/>
      <c r="M749" s="17"/>
      <c r="N749" s="17"/>
      <c r="O749" s="17"/>
      <c r="P749" s="17"/>
      <c r="Q749" s="17"/>
    </row>
    <row r="750" spans="10:17" x14ac:dyDescent="0.35">
      <c r="J750" s="17"/>
      <c r="K750" s="17"/>
      <c r="L750" s="17"/>
      <c r="M750" s="17"/>
      <c r="N750" s="17"/>
      <c r="O750" s="17"/>
      <c r="P750" s="17"/>
      <c r="Q750" s="17"/>
    </row>
    <row r="751" spans="10:17" x14ac:dyDescent="0.35">
      <c r="J751" s="17"/>
      <c r="K751" s="17"/>
      <c r="L751" s="17"/>
      <c r="M751" s="17"/>
      <c r="N751" s="17"/>
      <c r="O751" s="17"/>
      <c r="P751" s="17"/>
      <c r="Q751" s="17"/>
    </row>
    <row r="752" spans="10:17" x14ac:dyDescent="0.35">
      <c r="J752" s="17"/>
      <c r="K752" s="17"/>
      <c r="L752" s="17"/>
      <c r="M752" s="17"/>
      <c r="N752" s="17"/>
      <c r="O752" s="17"/>
      <c r="P752" s="17"/>
      <c r="Q752" s="17"/>
    </row>
    <row r="753" spans="10:17" x14ac:dyDescent="0.35">
      <c r="J753" s="17"/>
      <c r="K753" s="17"/>
      <c r="L753" s="17"/>
      <c r="M753" s="17"/>
      <c r="N753" s="17"/>
      <c r="O753" s="17"/>
      <c r="P753" s="17"/>
      <c r="Q753" s="17"/>
    </row>
    <row r="754" spans="10:17" x14ac:dyDescent="0.35">
      <c r="J754" s="17"/>
      <c r="K754" s="17"/>
      <c r="L754" s="17"/>
      <c r="M754" s="17"/>
      <c r="N754" s="17"/>
      <c r="O754" s="17"/>
      <c r="P754" s="17"/>
      <c r="Q754" s="17"/>
    </row>
    <row r="755" spans="10:17" x14ac:dyDescent="0.35">
      <c r="J755" s="17"/>
      <c r="K755" s="17"/>
      <c r="L755" s="17"/>
      <c r="M755" s="17"/>
      <c r="N755" s="17"/>
      <c r="O755" s="17"/>
      <c r="P755" s="17"/>
      <c r="Q755" s="17"/>
    </row>
    <row r="756" spans="10:17" x14ac:dyDescent="0.35">
      <c r="J756" s="17"/>
      <c r="K756" s="17"/>
      <c r="L756" s="17"/>
      <c r="M756" s="17"/>
      <c r="N756" s="17"/>
      <c r="O756" s="17"/>
      <c r="P756" s="17"/>
      <c r="Q756" s="17"/>
    </row>
    <row r="757" spans="10:17" x14ac:dyDescent="0.35">
      <c r="J757" s="17"/>
      <c r="K757" s="17"/>
      <c r="L757" s="17"/>
      <c r="M757" s="17"/>
      <c r="N757" s="17"/>
      <c r="O757" s="17"/>
      <c r="P757" s="17"/>
      <c r="Q757" s="17"/>
    </row>
    <row r="758" spans="10:17" x14ac:dyDescent="0.35">
      <c r="J758" s="17"/>
      <c r="K758" s="17"/>
      <c r="L758" s="17"/>
      <c r="M758" s="17"/>
      <c r="N758" s="17"/>
      <c r="O758" s="17"/>
      <c r="P758" s="17"/>
      <c r="Q758" s="17"/>
    </row>
    <row r="759" spans="10:17" x14ac:dyDescent="0.35">
      <c r="J759" s="17"/>
      <c r="K759" s="17"/>
      <c r="L759" s="17"/>
      <c r="M759" s="17"/>
      <c r="N759" s="17"/>
      <c r="O759" s="17"/>
      <c r="P759" s="17"/>
      <c r="Q759" s="17"/>
    </row>
    <row r="760" spans="10:17" x14ac:dyDescent="0.35">
      <c r="J760" s="17"/>
      <c r="K760" s="17"/>
      <c r="L760" s="17"/>
      <c r="M760" s="17"/>
      <c r="N760" s="17"/>
      <c r="O760" s="17"/>
      <c r="P760" s="17"/>
      <c r="Q760" s="17"/>
    </row>
    <row r="761" spans="10:17" x14ac:dyDescent="0.35">
      <c r="J761" s="17"/>
      <c r="K761" s="17"/>
      <c r="L761" s="17"/>
      <c r="M761" s="17"/>
      <c r="N761" s="17"/>
      <c r="O761" s="17"/>
      <c r="P761" s="17"/>
      <c r="Q761" s="17"/>
    </row>
    <row r="762" spans="10:17" x14ac:dyDescent="0.35">
      <c r="J762" s="17"/>
      <c r="K762" s="17"/>
      <c r="L762" s="17"/>
      <c r="M762" s="17"/>
      <c r="N762" s="17"/>
      <c r="O762" s="17"/>
      <c r="P762" s="17"/>
      <c r="Q762" s="17"/>
    </row>
    <row r="763" spans="10:17" x14ac:dyDescent="0.35">
      <c r="J763" s="17"/>
      <c r="K763" s="17"/>
      <c r="L763" s="17"/>
      <c r="M763" s="17"/>
      <c r="N763" s="17"/>
      <c r="O763" s="17"/>
      <c r="P763" s="17"/>
      <c r="Q763" s="17"/>
    </row>
    <row r="764" spans="10:17" x14ac:dyDescent="0.35">
      <c r="J764" s="17"/>
      <c r="K764" s="17"/>
      <c r="L764" s="17"/>
      <c r="M764" s="17"/>
      <c r="N764" s="17"/>
      <c r="O764" s="17"/>
      <c r="P764" s="17"/>
      <c r="Q764" s="17"/>
    </row>
    <row r="765" spans="10:17" x14ac:dyDescent="0.35">
      <c r="J765" s="17"/>
      <c r="K765" s="17"/>
      <c r="L765" s="17"/>
      <c r="M765" s="17"/>
      <c r="N765" s="17"/>
      <c r="O765" s="17"/>
      <c r="P765" s="17"/>
      <c r="Q765" s="17"/>
    </row>
    <row r="766" spans="10:17" x14ac:dyDescent="0.35">
      <c r="J766" s="17"/>
      <c r="K766" s="17"/>
      <c r="L766" s="17"/>
      <c r="M766" s="17"/>
      <c r="N766" s="17"/>
      <c r="O766" s="17"/>
      <c r="P766" s="17"/>
      <c r="Q766" s="17"/>
    </row>
    <row r="767" spans="10:17" x14ac:dyDescent="0.35">
      <c r="J767" s="17"/>
      <c r="K767" s="17"/>
      <c r="L767" s="17"/>
      <c r="M767" s="17"/>
      <c r="N767" s="17"/>
      <c r="O767" s="17"/>
      <c r="P767" s="17"/>
      <c r="Q767" s="17"/>
    </row>
    <row r="768" spans="10:17" x14ac:dyDescent="0.35">
      <c r="J768" s="17"/>
      <c r="K768" s="17"/>
      <c r="L768" s="17"/>
      <c r="M768" s="17"/>
      <c r="N768" s="17"/>
      <c r="O768" s="17"/>
      <c r="P768" s="17"/>
      <c r="Q768" s="17"/>
    </row>
    <row r="769" spans="10:17" x14ac:dyDescent="0.35">
      <c r="J769" s="17"/>
      <c r="K769" s="17"/>
      <c r="L769" s="17"/>
      <c r="M769" s="17"/>
      <c r="N769" s="17"/>
      <c r="O769" s="17"/>
      <c r="P769" s="17"/>
      <c r="Q769" s="17"/>
    </row>
  </sheetData>
  <mergeCells count="2">
    <mergeCell ref="A5:B5"/>
    <mergeCell ref="A6:B6"/>
  </mergeCells>
  <phoneticPr fontId="16" type="noConversion"/>
  <pageMargins left="0.7" right="0.7" top="0.75" bottom="0.5" header="0.3" footer="0.3"/>
  <pageSetup scale="74" fitToHeight="10" orientation="portrait" r:id="rId1"/>
  <headerFooter>
    <oddHeader>&amp;LMetric 1.1 
Staffing</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170" r:id="rId4" name="Check Box 11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1" r:id="rId5" name="Check Box 11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2" r:id="rId6" name="Check Box 11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3" r:id="rId7" name="Check Box 11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4" r:id="rId8" name="Check Box 11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5" r:id="rId9" name="Check Box 11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6" r:id="rId10" name="Check Box 12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7" r:id="rId11" name="Check Box 12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8" r:id="rId12" name="Check Box 12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79" r:id="rId13" name="Check Box 12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0" r:id="rId14" name="Check Box 12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1" r:id="rId15" name="Check Box 12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2" r:id="rId16" name="Check Box 12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4" r:id="rId17" name="Check Box 12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5" r:id="rId18" name="Check Box 12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6" r:id="rId19" name="Check Box 13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7" r:id="rId20" name="Check Box 13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8" r:id="rId21" name="Check Box 13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89" r:id="rId22" name="Check Box 13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0" r:id="rId23" name="Check Box 13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1" r:id="rId24" name="Check Box 13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2" r:id="rId25" name="Check Box 13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3" r:id="rId26" name="Check Box 13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4" r:id="rId27" name="Check Box 13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5" r:id="rId28" name="Check Box 13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6" r:id="rId29" name="Check Box 140">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7" r:id="rId30" name="Check Box 141">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8" r:id="rId31" name="Check Box 142">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199" r:id="rId32" name="Check Box 143">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0" r:id="rId33" name="Check Box 144">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1" r:id="rId34" name="Check Box 145">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2" r:id="rId35" name="Check Box 146">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3" r:id="rId36" name="Check Box 147">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4" r:id="rId37" name="Check Box 148">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5" r:id="rId38" name="Check Box 149">
              <controlPr defaultSize="0" autoFill="0" autoLine="0" autoPict="0">
                <anchor moveWithCells="1">
                  <from>
                    <xdr:col>1</xdr:col>
                    <xdr:colOff>450850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7" r:id="rId39" name="Check Box 15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8" r:id="rId40" name="Check Box 15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09" r:id="rId41" name="Check Box 15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0" r:id="rId42" name="Check Box 15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1" r:id="rId43" name="Check Box 15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2" r:id="rId44" name="Check Box 15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3" r:id="rId45" name="Check Box 15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4" r:id="rId46" name="Check Box 15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5" r:id="rId47" name="Check Box 15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6" r:id="rId48" name="Check Box 16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7" r:id="rId49" name="Check Box 16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8" r:id="rId50" name="Check Box 16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19" r:id="rId51" name="Check Box 16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0" r:id="rId52" name="Check Box 16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1" r:id="rId53" name="Check Box 16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4" r:id="rId54" name="Check Box 16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5" r:id="rId55" name="Check Box 16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6" r:id="rId56" name="Check Box 17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7" r:id="rId57" name="Check Box 171">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8" r:id="rId58" name="Check Box 17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29" r:id="rId59" name="Check Box 17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0" r:id="rId60" name="Check Box 17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1" r:id="rId61" name="Check Box 17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2" r:id="rId62" name="Check Box 17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3" r:id="rId63" name="Check Box 17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4" r:id="rId64" name="Check Box 17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5" r:id="rId65" name="Check Box 179">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6" r:id="rId66" name="Check Box 180">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8" r:id="rId67" name="Check Box 182">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39" r:id="rId68" name="Check Box 183">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0" r:id="rId69" name="Check Box 184">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1" r:id="rId70" name="Check Box 185">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2" r:id="rId71" name="Check Box 186">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3" r:id="rId72" name="Check Box 187">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4" r:id="rId73" name="Check Box 188">
              <controlPr defaultSize="0" autoFill="0" autoLine="0" autoPict="0">
                <anchor moveWithCells="1">
                  <from>
                    <xdr:col>1</xdr:col>
                    <xdr:colOff>419100</xdr:colOff>
                    <xdr:row>6</xdr:row>
                    <xdr:rowOff>0</xdr:rowOff>
                  </from>
                  <to>
                    <xdr:col>1</xdr:col>
                    <xdr:colOff>609600</xdr:colOff>
                    <xdr:row>6</xdr:row>
                    <xdr:rowOff>0</xdr:rowOff>
                  </to>
                </anchor>
              </controlPr>
            </control>
          </mc:Choice>
        </mc:AlternateContent>
        <mc:AlternateContent xmlns:mc="http://schemas.openxmlformats.org/markup-compatibility/2006">
          <mc:Choice Requires="x14">
            <control shapeId="45245" r:id="rId74" name="Check Box 189">
              <controlPr defaultSize="0" autoFill="0" autoLine="0" autoPict="0">
                <anchor moveWithCells="1">
                  <from>
                    <xdr:col>1</xdr:col>
                    <xdr:colOff>419100</xdr:colOff>
                    <xdr:row>115</xdr:row>
                    <xdr:rowOff>0</xdr:rowOff>
                  </from>
                  <to>
                    <xdr:col>1</xdr:col>
                    <xdr:colOff>609600</xdr:colOff>
                    <xdr:row>116</xdr:row>
                    <xdr:rowOff>12700</xdr:rowOff>
                  </to>
                </anchor>
              </controlPr>
            </control>
          </mc:Choice>
        </mc:AlternateContent>
        <mc:AlternateContent xmlns:mc="http://schemas.openxmlformats.org/markup-compatibility/2006">
          <mc:Choice Requires="x14">
            <control shapeId="45246" r:id="rId75" name="Check Box 190">
              <controlPr defaultSize="0" autoFill="0" autoLine="0" autoPict="0">
                <anchor moveWithCells="1">
                  <from>
                    <xdr:col>1</xdr:col>
                    <xdr:colOff>419100</xdr:colOff>
                    <xdr:row>116</xdr:row>
                    <xdr:rowOff>0</xdr:rowOff>
                  </from>
                  <to>
                    <xdr:col>1</xdr:col>
                    <xdr:colOff>609600</xdr:colOff>
                    <xdr:row>117</xdr:row>
                    <xdr:rowOff>12700</xdr:rowOff>
                  </to>
                </anchor>
              </controlPr>
            </control>
          </mc:Choice>
        </mc:AlternateContent>
        <mc:AlternateContent xmlns:mc="http://schemas.openxmlformats.org/markup-compatibility/2006">
          <mc:Choice Requires="x14">
            <control shapeId="45247" r:id="rId76" name="Check Box 191">
              <controlPr defaultSize="0" autoFill="0" autoLine="0" autoPict="0">
                <anchor moveWithCells="1">
                  <from>
                    <xdr:col>1</xdr:col>
                    <xdr:colOff>419100</xdr:colOff>
                    <xdr:row>117</xdr:row>
                    <xdr:rowOff>0</xdr:rowOff>
                  </from>
                  <to>
                    <xdr:col>1</xdr:col>
                    <xdr:colOff>609600</xdr:colOff>
                    <xdr:row>118</xdr:row>
                    <xdr:rowOff>12700</xdr:rowOff>
                  </to>
                </anchor>
              </controlPr>
            </control>
          </mc:Choice>
        </mc:AlternateContent>
        <mc:AlternateContent xmlns:mc="http://schemas.openxmlformats.org/markup-compatibility/2006">
          <mc:Choice Requires="x14">
            <control shapeId="45248" r:id="rId77" name="Check Box 192">
              <controlPr defaultSize="0" autoFill="0" autoLine="0" autoPict="0">
                <anchor moveWithCells="1">
                  <from>
                    <xdr:col>1</xdr:col>
                    <xdr:colOff>419100</xdr:colOff>
                    <xdr:row>118</xdr:row>
                    <xdr:rowOff>0</xdr:rowOff>
                  </from>
                  <to>
                    <xdr:col>1</xdr:col>
                    <xdr:colOff>609600</xdr:colOff>
                    <xdr:row>119</xdr:row>
                    <xdr:rowOff>19050</xdr:rowOff>
                  </to>
                </anchor>
              </controlPr>
            </control>
          </mc:Choice>
        </mc:AlternateContent>
        <mc:AlternateContent xmlns:mc="http://schemas.openxmlformats.org/markup-compatibility/2006">
          <mc:Choice Requires="x14">
            <control shapeId="45249" r:id="rId78" name="Check Box 193">
              <controlPr defaultSize="0" autoFill="0" autoLine="0" autoPict="0">
                <anchor moveWithCells="1">
                  <from>
                    <xdr:col>1</xdr:col>
                    <xdr:colOff>419100</xdr:colOff>
                    <xdr:row>119</xdr:row>
                    <xdr:rowOff>12700</xdr:rowOff>
                  </from>
                  <to>
                    <xdr:col>1</xdr:col>
                    <xdr:colOff>609600</xdr:colOff>
                    <xdr:row>120</xdr:row>
                    <xdr:rowOff>0</xdr:rowOff>
                  </to>
                </anchor>
              </controlPr>
            </control>
          </mc:Choice>
        </mc:AlternateContent>
        <mc:AlternateContent xmlns:mc="http://schemas.openxmlformats.org/markup-compatibility/2006">
          <mc:Choice Requires="x14">
            <control shapeId="45251" r:id="rId79" name="Check Box 195">
              <controlPr defaultSize="0" autoFill="0" autoLine="0" autoPict="0">
                <anchor moveWithCells="1">
                  <from>
                    <xdr:col>1</xdr:col>
                    <xdr:colOff>419100</xdr:colOff>
                    <xdr:row>121</xdr:row>
                    <xdr:rowOff>0</xdr:rowOff>
                  </from>
                  <to>
                    <xdr:col>1</xdr:col>
                    <xdr:colOff>609600</xdr:colOff>
                    <xdr:row>122</xdr:row>
                    <xdr:rowOff>12700</xdr:rowOff>
                  </to>
                </anchor>
              </controlPr>
            </control>
          </mc:Choice>
        </mc:AlternateContent>
        <mc:AlternateContent xmlns:mc="http://schemas.openxmlformats.org/markup-compatibility/2006">
          <mc:Choice Requires="x14">
            <control shapeId="45252" r:id="rId80" name="Check Box 196">
              <controlPr defaultSize="0" autoFill="0" autoLine="0" autoPict="0">
                <anchor moveWithCells="1">
                  <from>
                    <xdr:col>1</xdr:col>
                    <xdr:colOff>419100</xdr:colOff>
                    <xdr:row>122</xdr:row>
                    <xdr:rowOff>0</xdr:rowOff>
                  </from>
                  <to>
                    <xdr:col>1</xdr:col>
                    <xdr:colOff>609600</xdr:colOff>
                    <xdr:row>123</xdr:row>
                    <xdr:rowOff>12700</xdr:rowOff>
                  </to>
                </anchor>
              </controlPr>
            </control>
          </mc:Choice>
        </mc:AlternateContent>
        <mc:AlternateContent xmlns:mc="http://schemas.openxmlformats.org/markup-compatibility/2006">
          <mc:Choice Requires="x14">
            <control shapeId="45253" r:id="rId81" name="Check Box 197">
              <controlPr defaultSize="0" autoFill="0" autoLine="0" autoPict="0">
                <anchor moveWithCells="1">
                  <from>
                    <xdr:col>1</xdr:col>
                    <xdr:colOff>419100</xdr:colOff>
                    <xdr:row>123</xdr:row>
                    <xdr:rowOff>0</xdr:rowOff>
                  </from>
                  <to>
                    <xdr:col>1</xdr:col>
                    <xdr:colOff>609600</xdr:colOff>
                    <xdr:row>124</xdr:row>
                    <xdr:rowOff>12700</xdr:rowOff>
                  </to>
                </anchor>
              </controlPr>
            </control>
          </mc:Choice>
        </mc:AlternateContent>
        <mc:AlternateContent xmlns:mc="http://schemas.openxmlformats.org/markup-compatibility/2006">
          <mc:Choice Requires="x14">
            <control shapeId="45258" r:id="rId82" name="Check Box 202">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59" r:id="rId83" name="Check Box 203">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0" r:id="rId84" name="Check Box 204">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1" r:id="rId85" name="Check Box 205">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2" r:id="rId86" name="Check Box 206">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3" r:id="rId87" name="Check Box 207">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4" r:id="rId88" name="Check Box 208">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5" r:id="rId89" name="Check Box 209">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6" r:id="rId90" name="Check Box 210">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7" r:id="rId91" name="Check Box 211">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8" r:id="rId92" name="Check Box 212">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69" r:id="rId93" name="Check Box 213">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70" r:id="rId94" name="Check Box 214">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71" r:id="rId95" name="Check Box 215">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72" r:id="rId96" name="Check Box 216">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73" r:id="rId97" name="Check Box 217">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75" r:id="rId98" name="Check Box 219">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76" r:id="rId99" name="Check Box 220">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77" r:id="rId100" name="Check Box 221">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78" r:id="rId101" name="Check Box 222">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79" r:id="rId102" name="Check Box 223">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0" r:id="rId103" name="Check Box 224">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1" r:id="rId104" name="Check Box 225">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2" r:id="rId105" name="Check Box 226">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3" r:id="rId106" name="Check Box 227">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4" r:id="rId107" name="Check Box 228">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5" r:id="rId108" name="Check Box 229">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6" r:id="rId109" name="Check Box 230">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7" r:id="rId110" name="Check Box 231">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8" r:id="rId111" name="Check Box 232">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89" r:id="rId112" name="Check Box 233">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90" r:id="rId113" name="Check Box 234">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91" r:id="rId114" name="Check Box 235">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92" r:id="rId115" name="Check Box 236">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93" r:id="rId116" name="Check Box 237">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94" r:id="rId117" name="Check Box 238">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mc:AlternateContent xmlns:mc="http://schemas.openxmlformats.org/markup-compatibility/2006">
          <mc:Choice Requires="x14">
            <control shapeId="45295" r:id="rId118" name="Check Box 239">
              <controlPr defaultSize="0" autoFill="0" autoLine="0" autoPict="0">
                <anchor moveWithCells="1">
                  <from>
                    <xdr:col>1</xdr:col>
                    <xdr:colOff>419100</xdr:colOff>
                    <xdr:row>130</xdr:row>
                    <xdr:rowOff>0</xdr:rowOff>
                  </from>
                  <to>
                    <xdr:col>1</xdr:col>
                    <xdr:colOff>609600</xdr:colOff>
                    <xdr:row>130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16"/>
  <sheetViews>
    <sheetView zoomScaleNormal="100" zoomScaleSheetLayoutView="100" workbookViewId="0">
      <selection activeCell="G6" sqref="G6:G12"/>
    </sheetView>
  </sheetViews>
  <sheetFormatPr defaultColWidth="9.1796875" defaultRowHeight="15.5" x14ac:dyDescent="0.35"/>
  <cols>
    <col min="1" max="1" width="9.1796875" style="30" customWidth="1"/>
    <col min="2" max="2" width="66.81640625" style="3" customWidth="1"/>
    <col min="3" max="3" width="15.81640625" style="3" customWidth="1"/>
    <col min="4" max="4" width="14.1796875" style="3" customWidth="1"/>
    <col min="5" max="5" width="13.453125" style="3" customWidth="1"/>
    <col min="6" max="6" width="13" style="3" hidden="1" customWidth="1"/>
    <col min="7" max="7" width="30.7265625" style="3" customWidth="1"/>
    <col min="8" max="16384" width="9.1796875" style="3"/>
  </cols>
  <sheetData>
    <row r="1" spans="1:8" s="5" customFormat="1" x14ac:dyDescent="0.35">
      <c r="A1" s="11"/>
      <c r="G1" s="371" t="s">
        <v>412</v>
      </c>
    </row>
    <row r="2" spans="1:8" s="5" customFormat="1" x14ac:dyDescent="0.35">
      <c r="A2" s="586" t="s">
        <v>30</v>
      </c>
      <c r="B2" s="587"/>
      <c r="C2" s="587"/>
      <c r="G2" s="372" t="str">
        <f>VLOOKUP(shiptypenum,shiptbl,2,FALSE)</f>
        <v>LPD</v>
      </c>
    </row>
    <row r="3" spans="1:8" s="5" customFormat="1" x14ac:dyDescent="0.35">
      <c r="A3" s="42"/>
      <c r="B3" s="15"/>
      <c r="C3" s="15"/>
    </row>
    <row r="4" spans="1:8" s="5" customFormat="1" ht="36.75" customHeight="1" x14ac:dyDescent="0.35">
      <c r="A4" s="585" t="s">
        <v>481</v>
      </c>
      <c r="B4" s="585"/>
      <c r="C4" s="215"/>
      <c r="D4" s="228"/>
    </row>
    <row r="5" spans="1:8" s="5" customFormat="1" ht="36.75" customHeight="1" thickBot="1" x14ac:dyDescent="0.4">
      <c r="A5" s="585" t="s">
        <v>480</v>
      </c>
      <c r="B5" s="585"/>
      <c r="C5" s="215"/>
      <c r="D5" s="228"/>
    </row>
    <row r="6" spans="1:8" s="5" customFormat="1" ht="16.5" thickTop="1" thickBot="1" x14ac:dyDescent="0.4">
      <c r="A6" s="61"/>
      <c r="B6" s="32"/>
      <c r="C6" s="21" t="s">
        <v>26</v>
      </c>
      <c r="D6" s="13" t="s">
        <v>24</v>
      </c>
      <c r="E6" s="13" t="s">
        <v>25</v>
      </c>
      <c r="F6" s="126" t="s">
        <v>128</v>
      </c>
      <c r="G6" s="483"/>
    </row>
    <row r="7" spans="1:8" ht="47.25" customHeight="1" thickTop="1" x14ac:dyDescent="0.35">
      <c r="A7" s="155" t="s">
        <v>28</v>
      </c>
      <c r="B7" s="76" t="s">
        <v>227</v>
      </c>
      <c r="C7" s="492" t="b">
        <v>0</v>
      </c>
      <c r="D7" s="189">
        <v>5</v>
      </c>
      <c r="E7" s="184">
        <f>IF(C7,D7,0)</f>
        <v>0</v>
      </c>
      <c r="F7" s="25"/>
      <c r="G7" s="483"/>
      <c r="H7" s="34"/>
    </row>
    <row r="8" spans="1:8" ht="48" customHeight="1" x14ac:dyDescent="0.35">
      <c r="A8" s="155" t="s">
        <v>125</v>
      </c>
      <c r="B8" s="244" t="s">
        <v>254</v>
      </c>
      <c r="C8" s="492" t="s">
        <v>479</v>
      </c>
      <c r="D8" s="189">
        <v>0</v>
      </c>
      <c r="E8" s="184">
        <v>0</v>
      </c>
      <c r="F8" s="25"/>
      <c r="G8" s="483"/>
      <c r="H8" s="34"/>
    </row>
    <row r="9" spans="1:8" ht="48" customHeight="1" x14ac:dyDescent="0.35">
      <c r="A9" s="155" t="s">
        <v>126</v>
      </c>
      <c r="B9" s="214" t="s">
        <v>228</v>
      </c>
      <c r="C9" s="492" t="b">
        <v>0</v>
      </c>
      <c r="D9" s="189">
        <v>5</v>
      </c>
      <c r="E9" s="184">
        <f t="shared" ref="E9:E10" si="0">IF(C9,D9,0)</f>
        <v>0</v>
      </c>
      <c r="F9" s="25"/>
      <c r="G9" s="483"/>
      <c r="H9" s="34"/>
    </row>
    <row r="10" spans="1:8" ht="42.75" customHeight="1" x14ac:dyDescent="0.35">
      <c r="A10" s="155" t="s">
        <v>127</v>
      </c>
      <c r="B10" s="244" t="s">
        <v>255</v>
      </c>
      <c r="C10" s="491" t="b">
        <v>0</v>
      </c>
      <c r="D10" s="189">
        <v>5</v>
      </c>
      <c r="E10" s="184">
        <f t="shared" si="0"/>
        <v>0</v>
      </c>
      <c r="F10" s="25"/>
      <c r="G10" s="483"/>
      <c r="H10" s="19"/>
    </row>
    <row r="11" spans="1:8" ht="39.75" customHeight="1" thickBot="1" x14ac:dyDescent="0.4">
      <c r="A11" s="155" t="s">
        <v>229</v>
      </c>
      <c r="B11" s="59" t="s">
        <v>112</v>
      </c>
      <c r="C11" s="493" t="s">
        <v>479</v>
      </c>
      <c r="D11" s="189">
        <v>0</v>
      </c>
      <c r="E11" s="184">
        <v>0</v>
      </c>
      <c r="F11" s="25"/>
      <c r="G11" s="483"/>
    </row>
    <row r="12" spans="1:8" ht="20.25" customHeight="1" thickTop="1" thickBot="1" x14ac:dyDescent="0.4">
      <c r="A12" s="29"/>
      <c r="B12" s="27"/>
      <c r="G12" s="487"/>
    </row>
    <row r="13" spans="1:8" ht="16" thickBot="1" x14ac:dyDescent="0.4">
      <c r="B13" s="28" t="s">
        <v>29</v>
      </c>
      <c r="C13" s="494">
        <f>E13/(D13-F13)</f>
        <v>0</v>
      </c>
      <c r="D13" s="189">
        <f>SUM(D7:D11)</f>
        <v>15</v>
      </c>
      <c r="E13" s="189">
        <f>SUM(E7:E11)</f>
        <v>0</v>
      </c>
      <c r="F13" s="26">
        <f>SUM(F7:F11)</f>
        <v>0</v>
      </c>
      <c r="G13" s="487"/>
    </row>
    <row r="14" spans="1:8" ht="16" thickBot="1" x14ac:dyDescent="0.4">
      <c r="G14" s="487"/>
    </row>
    <row r="15" spans="1:8" ht="187.5" customHeight="1" thickBot="1" x14ac:dyDescent="0.4">
      <c r="B15" s="588" t="s">
        <v>47</v>
      </c>
      <c r="C15" s="589"/>
      <c r="G15" s="487"/>
    </row>
    <row r="16" spans="1:8" x14ac:dyDescent="0.35">
      <c r="B16" s="24"/>
    </row>
  </sheetData>
  <mergeCells count="4">
    <mergeCell ref="A2:C2"/>
    <mergeCell ref="A5:B5"/>
    <mergeCell ref="B15:C15"/>
    <mergeCell ref="A4:B4"/>
  </mergeCells>
  <phoneticPr fontId="16" type="noConversion"/>
  <pageMargins left="0.7" right="0.7" top="0.75" bottom="0.5" header="0.3" footer="0.3"/>
  <pageSetup scale="56" fitToHeight="10" orientation="portrait" r:id="rId1"/>
  <headerFooter>
    <oddHeader>&amp;LMetric 1.2 
Staff Qualifications</oddHeader>
    <oddFooter>&amp;C&amp;A&amp;RPage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9" r:id="rId4" name="Check Box 3">
              <controlPr defaultSize="0" autoFill="0" autoLine="0" autoPict="0">
                <anchor moveWithCells="1">
                  <from>
                    <xdr:col>2</xdr:col>
                    <xdr:colOff>419100</xdr:colOff>
                    <xdr:row>9</xdr:row>
                    <xdr:rowOff>190500</xdr:rowOff>
                  </from>
                  <to>
                    <xdr:col>2</xdr:col>
                    <xdr:colOff>914400</xdr:colOff>
                    <xdr:row>9</xdr:row>
                    <xdr:rowOff>412750</xdr:rowOff>
                  </to>
                </anchor>
              </controlPr>
            </control>
          </mc:Choice>
        </mc:AlternateContent>
        <mc:AlternateContent xmlns:mc="http://schemas.openxmlformats.org/markup-compatibility/2006">
          <mc:Choice Requires="x14">
            <control shapeId="24586" r:id="rId5" name="Check Box 10">
              <controlPr defaultSize="0" autoFill="0" autoLine="0" autoPict="0">
                <anchor moveWithCells="1">
                  <from>
                    <xdr:col>2</xdr:col>
                    <xdr:colOff>419100</xdr:colOff>
                    <xdr:row>6</xdr:row>
                    <xdr:rowOff>190500</xdr:rowOff>
                  </from>
                  <to>
                    <xdr:col>2</xdr:col>
                    <xdr:colOff>914400</xdr:colOff>
                    <xdr:row>6</xdr:row>
                    <xdr:rowOff>552450</xdr:rowOff>
                  </to>
                </anchor>
              </controlPr>
            </control>
          </mc:Choice>
        </mc:AlternateContent>
        <mc:AlternateContent xmlns:mc="http://schemas.openxmlformats.org/markup-compatibility/2006">
          <mc:Choice Requires="x14">
            <control shapeId="24591" r:id="rId6" name="Check Box 15">
              <controlPr defaultSize="0" autoFill="0" autoLine="0" autoPict="0">
                <anchor moveWithCells="1">
                  <from>
                    <xdr:col>2</xdr:col>
                    <xdr:colOff>438150</xdr:colOff>
                    <xdr:row>8</xdr:row>
                    <xdr:rowOff>95250</xdr:rowOff>
                  </from>
                  <to>
                    <xdr:col>2</xdr:col>
                    <xdr:colOff>933450</xdr:colOff>
                    <xdr:row>8</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I17"/>
  <sheetViews>
    <sheetView zoomScaleNormal="100" zoomScaleSheetLayoutView="100" workbookViewId="0">
      <selection activeCell="G6" sqref="G6:G12"/>
    </sheetView>
  </sheetViews>
  <sheetFormatPr defaultRowHeight="15.5" x14ac:dyDescent="0.35"/>
  <cols>
    <col min="1" max="1" width="11.1796875" style="181" customWidth="1"/>
    <col min="2" max="2" width="63.26953125" customWidth="1"/>
    <col min="3" max="3" width="15.54296875" customWidth="1"/>
    <col min="4" max="4" width="14" customWidth="1"/>
    <col min="5" max="5" width="12.7265625" customWidth="1"/>
    <col min="6" max="6" width="22.26953125" hidden="1" customWidth="1"/>
    <col min="7" max="7" width="30.7265625" customWidth="1"/>
  </cols>
  <sheetData>
    <row r="1" spans="1:9" s="40" customFormat="1" x14ac:dyDescent="0.35">
      <c r="A1" s="590" t="s">
        <v>0</v>
      </c>
      <c r="B1" s="590"/>
      <c r="C1" s="590"/>
      <c r="G1" s="371" t="s">
        <v>412</v>
      </c>
    </row>
    <row r="2" spans="1:9" s="40" customFormat="1" x14ac:dyDescent="0.35">
      <c r="A2" s="374"/>
      <c r="B2" s="374"/>
      <c r="C2" s="374"/>
      <c r="G2" s="372" t="str">
        <f>VLOOKUP(shiptypenum,shiptbl,2,FALSE)</f>
        <v>LPD</v>
      </c>
    </row>
    <row r="3" spans="1:9" s="40" customFormat="1" x14ac:dyDescent="0.35">
      <c r="A3" s="53" t="s">
        <v>44</v>
      </c>
      <c r="B3" s="51"/>
      <c r="C3" s="53"/>
      <c r="D3" s="51"/>
    </row>
    <row r="4" spans="1:9" s="40" customFormat="1" ht="36.75" customHeight="1" x14ac:dyDescent="0.35">
      <c r="A4" s="585" t="s">
        <v>481</v>
      </c>
      <c r="B4" s="585"/>
      <c r="C4" s="215"/>
      <c r="D4" s="373"/>
      <c r="G4" s="295"/>
    </row>
    <row r="5" spans="1:9" s="40" customFormat="1" ht="36.75" customHeight="1" thickBot="1" x14ac:dyDescent="0.4">
      <c r="A5" s="585" t="s">
        <v>482</v>
      </c>
      <c r="B5" s="585"/>
      <c r="C5" s="215"/>
      <c r="D5" s="373"/>
    </row>
    <row r="6" spans="1:9" s="40" customFormat="1" ht="16.5" thickTop="1" thickBot="1" x14ac:dyDescent="0.4">
      <c r="A6" s="176"/>
      <c r="B6" s="177"/>
      <c r="C6" s="178" t="s">
        <v>26</v>
      </c>
      <c r="D6" s="126" t="s">
        <v>24</v>
      </c>
      <c r="E6" s="126" t="s">
        <v>25</v>
      </c>
      <c r="F6" s="126"/>
      <c r="G6" s="483"/>
    </row>
    <row r="7" spans="1:9" ht="23.25" customHeight="1" thickTop="1" x14ac:dyDescent="0.35">
      <c r="A7" s="591" t="s">
        <v>215</v>
      </c>
      <c r="B7" s="592"/>
      <c r="C7" s="453"/>
      <c r="D7" s="184"/>
      <c r="E7" s="189"/>
      <c r="G7" s="483"/>
    </row>
    <row r="8" spans="1:9" ht="57.75" customHeight="1" x14ac:dyDescent="0.35">
      <c r="A8" s="37" t="s">
        <v>55</v>
      </c>
      <c r="B8" s="150" t="s">
        <v>471</v>
      </c>
      <c r="C8" s="264" t="b">
        <v>0</v>
      </c>
      <c r="D8" s="184">
        <v>10</v>
      </c>
      <c r="E8" s="189">
        <f t="shared" ref="E8:E10" si="0">IF(C8,D8,0)</f>
        <v>0</v>
      </c>
      <c r="G8" s="483"/>
    </row>
    <row r="9" spans="1:9" ht="57.75" customHeight="1" x14ac:dyDescent="0.35">
      <c r="A9" s="37" t="s">
        <v>56</v>
      </c>
      <c r="B9" s="150" t="s">
        <v>472</v>
      </c>
      <c r="C9" s="264" t="b">
        <v>0</v>
      </c>
      <c r="D9" s="184">
        <v>10</v>
      </c>
      <c r="E9" s="189">
        <f t="shared" si="0"/>
        <v>0</v>
      </c>
      <c r="G9" s="483"/>
    </row>
    <row r="10" spans="1:9" ht="50.25" customHeight="1" thickBot="1" x14ac:dyDescent="0.4">
      <c r="A10" s="180" t="s">
        <v>57</v>
      </c>
      <c r="B10" s="202" t="s">
        <v>415</v>
      </c>
      <c r="C10" s="266" t="b">
        <v>0</v>
      </c>
      <c r="D10" s="184">
        <v>8</v>
      </c>
      <c r="E10" s="189">
        <f t="shared" si="0"/>
        <v>0</v>
      </c>
      <c r="G10" s="483"/>
      <c r="I10" s="1"/>
    </row>
    <row r="11" spans="1:9" ht="17.25" customHeight="1" thickTop="1" thickBot="1" x14ac:dyDescent="0.4">
      <c r="B11" s="201"/>
      <c r="C11" s="190"/>
      <c r="D11" s="140"/>
      <c r="E11" s="140"/>
      <c r="G11" s="488"/>
    </row>
    <row r="12" spans="1:9" ht="28.5" customHeight="1" thickBot="1" x14ac:dyDescent="0.4">
      <c r="B12" s="498" t="s">
        <v>29</v>
      </c>
      <c r="C12" s="252">
        <f>E12/D12</f>
        <v>0</v>
      </c>
      <c r="D12" s="184">
        <f>SUM(D7:D10)</f>
        <v>28</v>
      </c>
      <c r="E12" s="184">
        <f>SUM(E7:E10)</f>
        <v>0</v>
      </c>
      <c r="G12" s="488"/>
    </row>
    <row r="13" spans="1:9" x14ac:dyDescent="0.35">
      <c r="B13" s="190"/>
      <c r="C13" s="190"/>
      <c r="D13" s="190"/>
    </row>
    <row r="14" spans="1:9" ht="28.5" customHeight="1" thickBot="1" x14ac:dyDescent="0.4"/>
    <row r="15" spans="1:9" ht="93.75" customHeight="1" thickBot="1" x14ac:dyDescent="0.4">
      <c r="B15" s="509" t="s">
        <v>46</v>
      </c>
    </row>
    <row r="16" spans="1:9" ht="14.5" x14ac:dyDescent="0.35">
      <c r="A16"/>
    </row>
    <row r="17" spans="1:1" ht="93.75" customHeight="1" x14ac:dyDescent="0.35">
      <c r="A17"/>
    </row>
  </sheetData>
  <mergeCells count="4">
    <mergeCell ref="A1:C1"/>
    <mergeCell ref="A4:B4"/>
    <mergeCell ref="A5:B5"/>
    <mergeCell ref="A7:B7"/>
  </mergeCells>
  <phoneticPr fontId="16" type="noConversion"/>
  <pageMargins left="0.7" right="0.7" top="0.75" bottom="0.75" header="0.3" footer="0.3"/>
  <pageSetup scale="56" fitToHeight="10" orientation="portrait" r:id="rId1"/>
  <headerFooter>
    <oddHeader>&amp;LMetric 1.3 
Staff Training</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83" r:id="rId4" name="Check Box 83">
              <controlPr defaultSize="0" autoFill="0" autoLine="0" autoPict="0">
                <anchor moveWithCells="1">
                  <from>
                    <xdr:col>2</xdr:col>
                    <xdr:colOff>419100</xdr:colOff>
                    <xdr:row>7</xdr:row>
                    <xdr:rowOff>0</xdr:rowOff>
                  </from>
                  <to>
                    <xdr:col>2</xdr:col>
                    <xdr:colOff>609600</xdr:colOff>
                    <xdr:row>7</xdr:row>
                    <xdr:rowOff>209550</xdr:rowOff>
                  </to>
                </anchor>
              </controlPr>
            </control>
          </mc:Choice>
        </mc:AlternateContent>
        <mc:AlternateContent xmlns:mc="http://schemas.openxmlformats.org/markup-compatibility/2006">
          <mc:Choice Requires="x14">
            <control shapeId="25684" r:id="rId5" name="Check Box 84">
              <controlPr defaultSize="0" autoFill="0" autoLine="0" autoPict="0">
                <anchor moveWithCells="1">
                  <from>
                    <xdr:col>2</xdr:col>
                    <xdr:colOff>419100</xdr:colOff>
                    <xdr:row>8</xdr:row>
                    <xdr:rowOff>0</xdr:rowOff>
                  </from>
                  <to>
                    <xdr:col>2</xdr:col>
                    <xdr:colOff>609600</xdr:colOff>
                    <xdr:row>8</xdr:row>
                    <xdr:rowOff>209550</xdr:rowOff>
                  </to>
                </anchor>
              </controlPr>
            </control>
          </mc:Choice>
        </mc:AlternateContent>
        <mc:AlternateContent xmlns:mc="http://schemas.openxmlformats.org/markup-compatibility/2006">
          <mc:Choice Requires="x14">
            <control shapeId="25685" r:id="rId6" name="Check Box 85">
              <controlPr defaultSize="0" autoFill="0" autoLine="0" autoPict="0">
                <anchor moveWithCells="1">
                  <from>
                    <xdr:col>2</xdr:col>
                    <xdr:colOff>419100</xdr:colOff>
                    <xdr:row>9</xdr:row>
                    <xdr:rowOff>0</xdr:rowOff>
                  </from>
                  <to>
                    <xdr:col>2</xdr:col>
                    <xdr:colOff>609600</xdr:colOff>
                    <xdr:row>9</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G16"/>
  <sheetViews>
    <sheetView zoomScaleNormal="100" zoomScaleSheetLayoutView="100" workbookViewId="0">
      <selection activeCell="I10" sqref="I10"/>
    </sheetView>
  </sheetViews>
  <sheetFormatPr defaultRowHeight="14.5" x14ac:dyDescent="0.35"/>
  <cols>
    <col min="1" max="1" width="12.54296875" customWidth="1"/>
    <col min="2" max="2" width="49.81640625" customWidth="1"/>
    <col min="3" max="3" width="19.81640625" customWidth="1"/>
    <col min="4" max="4" width="16.26953125" customWidth="1"/>
    <col min="5" max="5" width="13.7265625" style="25" customWidth="1"/>
    <col min="6" max="6" width="13.1796875" customWidth="1"/>
    <col min="7" max="7" width="30.7265625" customWidth="1"/>
  </cols>
  <sheetData>
    <row r="1" spans="1:7" ht="15.5" x14ac:dyDescent="0.35">
      <c r="A1" s="62" t="s">
        <v>49</v>
      </c>
      <c r="F1" s="62"/>
      <c r="G1" s="371" t="s">
        <v>412</v>
      </c>
    </row>
    <row r="2" spans="1:7" ht="15.5" x14ac:dyDescent="0.35">
      <c r="F2" s="62"/>
      <c r="G2" s="372" t="str">
        <f>VLOOKUP(shiptypenum,shiptbl,2,FALSE)</f>
        <v>LPD</v>
      </c>
    </row>
    <row r="3" spans="1:7" s="5" customFormat="1" ht="19.5" customHeight="1" x14ac:dyDescent="0.35">
      <c r="A3" s="53" t="s">
        <v>44</v>
      </c>
      <c r="B3" s="51"/>
      <c r="C3" s="52"/>
      <c r="D3" s="40"/>
    </row>
    <row r="4" spans="1:7" s="5" customFormat="1" ht="36.75" customHeight="1" x14ac:dyDescent="0.35">
      <c r="A4" s="585" t="s">
        <v>481</v>
      </c>
      <c r="B4" s="585"/>
      <c r="C4" s="585"/>
      <c r="D4" s="212"/>
    </row>
    <row r="5" spans="1:7" s="5" customFormat="1" ht="36.75" customHeight="1" thickBot="1" x14ac:dyDescent="0.4">
      <c r="A5" s="585" t="s">
        <v>480</v>
      </c>
      <c r="B5" s="585"/>
      <c r="C5" s="585"/>
      <c r="D5" s="212"/>
    </row>
    <row r="6" spans="1:7" s="5" customFormat="1" ht="16.5" thickTop="1" thickBot="1" x14ac:dyDescent="0.4">
      <c r="A6" s="61"/>
      <c r="B6" s="224"/>
      <c r="C6" s="225"/>
      <c r="D6" s="21" t="s">
        <v>26</v>
      </c>
      <c r="E6" s="13" t="s">
        <v>24</v>
      </c>
      <c r="F6" s="13" t="s">
        <v>25</v>
      </c>
      <c r="G6" s="483"/>
    </row>
    <row r="7" spans="1:7" ht="69" customHeight="1" thickTop="1" x14ac:dyDescent="0.35">
      <c r="A7" s="251"/>
      <c r="B7" s="595" t="s">
        <v>259</v>
      </c>
      <c r="C7" s="596"/>
      <c r="D7" s="460"/>
      <c r="E7" s="165"/>
      <c r="F7" s="184"/>
      <c r="G7" s="329"/>
    </row>
    <row r="8" spans="1:7" ht="23.25" customHeight="1" x14ac:dyDescent="0.35">
      <c r="A8" s="160" t="s">
        <v>250</v>
      </c>
      <c r="B8" s="247" t="s">
        <v>246</v>
      </c>
      <c r="C8" s="248">
        <f>VLOOKUP(ship_type,sqft_tbl,2,FALSE)</f>
        <v>100</v>
      </c>
      <c r="D8" s="459" t="b">
        <v>0</v>
      </c>
      <c r="E8" s="81">
        <v>5</v>
      </c>
      <c r="F8" s="184">
        <f>IF(D8,E8,0)</f>
        <v>0</v>
      </c>
      <c r="G8" s="483"/>
    </row>
    <row r="9" spans="1:7" ht="24" customHeight="1" x14ac:dyDescent="0.35">
      <c r="A9" s="160" t="s">
        <v>251</v>
      </c>
      <c r="B9" s="234" t="s">
        <v>247</v>
      </c>
      <c r="C9" s="249">
        <f>VLOOKUP(ship_type,sqft_tbl,3,FALSE)</f>
        <v>80</v>
      </c>
      <c r="D9" s="250" t="b">
        <v>0</v>
      </c>
      <c r="E9" s="81">
        <v>8</v>
      </c>
      <c r="F9" s="184">
        <f t="shared" ref="F9:F11" si="0">IF(D9,E9,0)</f>
        <v>0</v>
      </c>
      <c r="G9" s="483"/>
    </row>
    <row r="10" spans="1:7" ht="23.25" customHeight="1" x14ac:dyDescent="0.35">
      <c r="A10" s="160" t="s">
        <v>252</v>
      </c>
      <c r="B10" s="234" t="s">
        <v>248</v>
      </c>
      <c r="C10" s="249">
        <f>VLOOKUP(ship_type,sqft_tbl,4,FALSE)</f>
        <v>20</v>
      </c>
      <c r="D10" s="250" t="b">
        <v>0</v>
      </c>
      <c r="E10" s="81">
        <v>8</v>
      </c>
      <c r="F10" s="184">
        <f t="shared" si="0"/>
        <v>0</v>
      </c>
      <c r="G10" s="483"/>
    </row>
    <row r="11" spans="1:7" ht="22.5" customHeight="1" thickBot="1" x14ac:dyDescent="0.4">
      <c r="A11" s="160" t="s">
        <v>253</v>
      </c>
      <c r="B11" s="234" t="s">
        <v>249</v>
      </c>
      <c r="C11" s="253">
        <f>VLOOKUP(ship_type,sqft_tbl,5,FALSE)</f>
        <v>2131</v>
      </c>
      <c r="D11" s="250" t="b">
        <v>0</v>
      </c>
      <c r="E11" s="81">
        <v>10</v>
      </c>
      <c r="F11" s="184">
        <f t="shared" si="0"/>
        <v>0</v>
      </c>
      <c r="G11" s="483"/>
    </row>
    <row r="12" spans="1:7" ht="15.5" thickTop="1" thickBot="1" x14ac:dyDescent="0.4">
      <c r="A12" s="388"/>
      <c r="B12" s="388"/>
      <c r="C12" s="388"/>
      <c r="D12" s="388"/>
      <c r="F12" s="1"/>
      <c r="G12" s="488"/>
    </row>
    <row r="13" spans="1:7" ht="28.5" customHeight="1" thickBot="1" x14ac:dyDescent="0.4">
      <c r="A13" s="181"/>
      <c r="B13" s="597" t="s">
        <v>29</v>
      </c>
      <c r="C13" s="598"/>
      <c r="D13" s="252">
        <f>F13/E13</f>
        <v>0</v>
      </c>
      <c r="E13" s="184">
        <f>SUM(E8:E12)</f>
        <v>31</v>
      </c>
      <c r="F13" s="184">
        <f>SUM(F8:F12)</f>
        <v>0</v>
      </c>
    </row>
    <row r="14" spans="1:7" ht="15.5" x14ac:dyDescent="0.35">
      <c r="A14" s="181"/>
      <c r="B14" s="190"/>
      <c r="C14" s="190"/>
      <c r="D14" s="190"/>
      <c r="E14"/>
    </row>
    <row r="15" spans="1:7" ht="16" thickBot="1" x14ac:dyDescent="0.4">
      <c r="A15" s="181"/>
      <c r="E15"/>
    </row>
    <row r="16" spans="1:7" ht="93.75" customHeight="1" thickBot="1" x14ac:dyDescent="0.4">
      <c r="A16" s="181"/>
      <c r="B16" s="593" t="s">
        <v>46</v>
      </c>
      <c r="C16" s="594"/>
      <c r="E16"/>
    </row>
  </sheetData>
  <mergeCells count="5">
    <mergeCell ref="B16:C16"/>
    <mergeCell ref="A4:C4"/>
    <mergeCell ref="A5:C5"/>
    <mergeCell ref="B7:C7"/>
    <mergeCell ref="B13:C13"/>
  </mergeCells>
  <phoneticPr fontId="16" type="noConversion"/>
  <pageMargins left="0.7" right="0.7" top="0.75" bottom="0.75" header="0.3" footer="0.3"/>
  <pageSetup scale="54" orientation="portrait" r:id="rId1"/>
  <headerFooter>
    <oddHeader>&amp;L2.1 Square Footage</oddHeader>
    <oddFooter>&amp;C&amp;A&amp;RPage &amp;P</oddFooter>
  </headerFooter>
  <ignoredErrors>
    <ignoredError sqref="C8:C1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374650</xdr:colOff>
                    <xdr:row>7</xdr:row>
                    <xdr:rowOff>12700</xdr:rowOff>
                  </from>
                  <to>
                    <xdr:col>3</xdr:col>
                    <xdr:colOff>660400</xdr:colOff>
                    <xdr:row>7</xdr:row>
                    <xdr:rowOff>190500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355600</xdr:colOff>
                    <xdr:row>8</xdr:row>
                    <xdr:rowOff>12700</xdr:rowOff>
                  </from>
                  <to>
                    <xdr:col>3</xdr:col>
                    <xdr:colOff>660400</xdr:colOff>
                    <xdr:row>8</xdr:row>
                    <xdr:rowOff>228600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355600</xdr:colOff>
                    <xdr:row>9</xdr:row>
                    <xdr:rowOff>6350</xdr:rowOff>
                  </from>
                  <to>
                    <xdr:col>3</xdr:col>
                    <xdr:colOff>660400</xdr:colOff>
                    <xdr:row>9</xdr:row>
                    <xdr:rowOff>228600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3</xdr:col>
                    <xdr:colOff>355600</xdr:colOff>
                    <xdr:row>10</xdr:row>
                    <xdr:rowOff>12700</xdr:rowOff>
                  </from>
                  <to>
                    <xdr:col>3</xdr:col>
                    <xdr:colOff>660400</xdr:colOff>
                    <xdr:row>10</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H39"/>
  <sheetViews>
    <sheetView zoomScaleNormal="100" zoomScaleSheetLayoutView="87" workbookViewId="0">
      <selection activeCell="J14" sqref="J14"/>
    </sheetView>
  </sheetViews>
  <sheetFormatPr defaultRowHeight="15.5" x14ac:dyDescent="0.35"/>
  <cols>
    <col min="1" max="1" width="10.453125" customWidth="1"/>
    <col min="2" max="2" width="63.54296875" customWidth="1"/>
    <col min="3" max="3" width="15.7265625" customWidth="1"/>
    <col min="4" max="4" width="13.7265625" style="25" customWidth="1"/>
    <col min="5" max="5" width="12.7265625" style="199" customWidth="1"/>
    <col min="6" max="6" width="5.54296875" style="25" hidden="1" customWidth="1"/>
    <col min="7" max="7" width="30.7265625" style="39" customWidth="1"/>
  </cols>
  <sheetData>
    <row r="1" spans="1:8" s="20" customFormat="1" x14ac:dyDescent="0.35">
      <c r="A1" s="57" t="s">
        <v>144</v>
      </c>
      <c r="B1" s="16"/>
      <c r="C1" s="12"/>
      <c r="D1" s="245"/>
      <c r="G1" s="371" t="s">
        <v>412</v>
      </c>
    </row>
    <row r="2" spans="1:8" s="20" customFormat="1" x14ac:dyDescent="0.35">
      <c r="A2" s="12"/>
      <c r="B2" s="16"/>
      <c r="C2" s="12"/>
      <c r="D2" s="245"/>
      <c r="G2" s="372" t="str">
        <f>VLOOKUP(shiptypenum,shiptbl,2,FALSE)</f>
        <v>LPD</v>
      </c>
    </row>
    <row r="3" spans="1:8" s="20" customFormat="1" ht="19.5" customHeight="1" x14ac:dyDescent="0.35">
      <c r="A3" s="599" t="s">
        <v>44</v>
      </c>
      <c r="B3" s="599"/>
      <c r="C3" s="6"/>
      <c r="D3" s="245"/>
      <c r="E3" s="254"/>
      <c r="G3" s="182"/>
    </row>
    <row r="4" spans="1:8" s="20" customFormat="1" ht="33.75" customHeight="1" x14ac:dyDescent="0.35">
      <c r="A4" s="585" t="s">
        <v>481</v>
      </c>
      <c r="B4" s="585"/>
      <c r="C4" s="585"/>
      <c r="D4" s="245"/>
      <c r="E4" s="254"/>
      <c r="G4" s="182"/>
    </row>
    <row r="5" spans="1:8" s="20" customFormat="1" ht="33.75" customHeight="1" thickBot="1" x14ac:dyDescent="0.4">
      <c r="A5" s="585" t="s">
        <v>480</v>
      </c>
      <c r="B5" s="585"/>
      <c r="C5" s="585"/>
      <c r="D5" s="245"/>
      <c r="E5" s="254"/>
      <c r="G5" s="182"/>
    </row>
    <row r="6" spans="1:8" s="3" customFormat="1" ht="31.5" customHeight="1" thickTop="1" thickBot="1" x14ac:dyDescent="0.4">
      <c r="A6" s="146"/>
      <c r="B6" s="161"/>
      <c r="C6" s="75" t="s">
        <v>26</v>
      </c>
      <c r="D6" s="189" t="s">
        <v>24</v>
      </c>
      <c r="E6" s="189" t="s">
        <v>25</v>
      </c>
      <c r="F6" s="69"/>
      <c r="G6" s="317"/>
    </row>
    <row r="7" spans="1:8" s="3" customFormat="1" ht="16" thickTop="1" x14ac:dyDescent="0.35">
      <c r="A7" s="601" t="s">
        <v>129</v>
      </c>
      <c r="B7" s="602"/>
      <c r="C7" s="455"/>
      <c r="D7" s="26"/>
      <c r="G7" s="495"/>
    </row>
    <row r="8" spans="1:8" s="3" customFormat="1" ht="36" customHeight="1" x14ac:dyDescent="0.35">
      <c r="A8" s="64" t="s">
        <v>145</v>
      </c>
      <c r="B8" s="147" t="s">
        <v>130</v>
      </c>
      <c r="C8" s="70" t="b">
        <v>0</v>
      </c>
      <c r="D8" s="189">
        <v>10</v>
      </c>
      <c r="E8" s="189">
        <f>IF(C8,D8,0)</f>
        <v>0</v>
      </c>
      <c r="F8" s="68"/>
      <c r="G8" s="317"/>
      <c r="H8" s="49"/>
    </row>
    <row r="9" spans="1:8" s="3" customFormat="1" ht="36" customHeight="1" x14ac:dyDescent="0.35">
      <c r="A9" s="64" t="s">
        <v>146</v>
      </c>
      <c r="B9" s="59" t="s">
        <v>131</v>
      </c>
      <c r="C9" s="66" t="b">
        <v>0</v>
      </c>
      <c r="D9" s="189">
        <v>8</v>
      </c>
      <c r="E9" s="189">
        <f t="shared" ref="E9:E30" si="0">IF(C9,D9,0)</f>
        <v>0</v>
      </c>
      <c r="F9" s="68"/>
      <c r="G9" s="317"/>
    </row>
    <row r="10" spans="1:8" s="3" customFormat="1" ht="36" customHeight="1" x14ac:dyDescent="0.35">
      <c r="A10" s="64" t="s">
        <v>147</v>
      </c>
      <c r="B10" s="156" t="s">
        <v>260</v>
      </c>
      <c r="C10" s="66" t="b">
        <v>0</v>
      </c>
      <c r="D10" s="189">
        <v>1</v>
      </c>
      <c r="E10" s="189">
        <f t="shared" si="0"/>
        <v>0</v>
      </c>
      <c r="F10" s="68"/>
      <c r="G10" s="317"/>
    </row>
    <row r="11" spans="1:8" s="3" customFormat="1" ht="36" customHeight="1" x14ac:dyDescent="0.35">
      <c r="A11" s="64" t="s">
        <v>148</v>
      </c>
      <c r="B11" s="156" t="s">
        <v>132</v>
      </c>
      <c r="C11" s="66" t="b">
        <v>0</v>
      </c>
      <c r="D11" s="189">
        <v>5</v>
      </c>
      <c r="E11" s="189">
        <f t="shared" si="0"/>
        <v>0</v>
      </c>
      <c r="F11" s="68"/>
      <c r="G11" s="317"/>
    </row>
    <row r="12" spans="1:8" s="3" customFormat="1" ht="25.5" customHeight="1" x14ac:dyDescent="0.35">
      <c r="A12" s="603" t="s">
        <v>230</v>
      </c>
      <c r="B12" s="604"/>
      <c r="C12" s="455"/>
      <c r="D12" s="68"/>
      <c r="E12" s="189"/>
      <c r="F12" s="68"/>
      <c r="G12" s="317"/>
    </row>
    <row r="13" spans="1:8" s="3" customFormat="1" ht="36" customHeight="1" x14ac:dyDescent="0.35">
      <c r="A13" s="64" t="s">
        <v>149</v>
      </c>
      <c r="B13" s="45" t="s">
        <v>133</v>
      </c>
      <c r="C13" s="66" t="b">
        <v>0</v>
      </c>
      <c r="D13" s="189">
        <v>8</v>
      </c>
      <c r="E13" s="189">
        <f t="shared" si="0"/>
        <v>0</v>
      </c>
      <c r="F13" s="68"/>
      <c r="G13" s="317"/>
    </row>
    <row r="14" spans="1:8" s="3" customFormat="1" ht="36" customHeight="1" x14ac:dyDescent="0.35">
      <c r="A14" s="64" t="s">
        <v>150</v>
      </c>
      <c r="B14" s="59" t="s">
        <v>134</v>
      </c>
      <c r="C14" s="66" t="b">
        <v>0</v>
      </c>
      <c r="D14" s="189">
        <v>8</v>
      </c>
      <c r="E14" s="189">
        <f t="shared" si="0"/>
        <v>0</v>
      </c>
      <c r="F14" s="68"/>
      <c r="G14" s="317"/>
    </row>
    <row r="15" spans="1:8" s="3" customFormat="1" ht="36" customHeight="1" x14ac:dyDescent="0.35">
      <c r="A15" s="64" t="s">
        <v>151</v>
      </c>
      <c r="B15" s="59" t="s">
        <v>231</v>
      </c>
      <c r="C15" s="66" t="b">
        <v>0</v>
      </c>
      <c r="D15" s="189">
        <v>10</v>
      </c>
      <c r="E15" s="189">
        <f t="shared" si="0"/>
        <v>0</v>
      </c>
      <c r="F15" s="68"/>
      <c r="G15" s="317"/>
    </row>
    <row r="16" spans="1:8" s="3" customFormat="1" ht="27" customHeight="1" x14ac:dyDescent="0.35">
      <c r="A16" s="605" t="s">
        <v>136</v>
      </c>
      <c r="B16" s="606"/>
      <c r="C16" s="455"/>
      <c r="D16" s="68"/>
      <c r="E16" s="189"/>
      <c r="F16" s="68"/>
      <c r="G16" s="317"/>
    </row>
    <row r="17" spans="1:7" s="3" customFormat="1" ht="36" customHeight="1" x14ac:dyDescent="0.35">
      <c r="A17" s="64" t="s">
        <v>152</v>
      </c>
      <c r="B17" s="45" t="s">
        <v>135</v>
      </c>
      <c r="C17" s="66" t="b">
        <v>0</v>
      </c>
      <c r="D17" s="189">
        <v>8</v>
      </c>
      <c r="E17" s="189">
        <f t="shared" si="0"/>
        <v>0</v>
      </c>
      <c r="F17" s="68"/>
      <c r="G17" s="317"/>
    </row>
    <row r="18" spans="1:7" s="3" customFormat="1" ht="36" customHeight="1" x14ac:dyDescent="0.35">
      <c r="A18" s="64" t="s">
        <v>153</v>
      </c>
      <c r="B18" s="59" t="s">
        <v>134</v>
      </c>
      <c r="C18" s="66" t="b">
        <v>0</v>
      </c>
      <c r="D18" s="189">
        <v>8</v>
      </c>
      <c r="E18" s="189">
        <f t="shared" si="0"/>
        <v>0</v>
      </c>
      <c r="F18" s="68"/>
      <c r="G18" s="317"/>
    </row>
    <row r="19" spans="1:7" s="3" customFormat="1" ht="36" customHeight="1" x14ac:dyDescent="0.35">
      <c r="A19" s="64" t="s">
        <v>154</v>
      </c>
      <c r="B19" s="59" t="s">
        <v>231</v>
      </c>
      <c r="C19" s="66" t="b">
        <v>0</v>
      </c>
      <c r="D19" s="189">
        <v>10</v>
      </c>
      <c r="E19" s="189">
        <f t="shared" si="0"/>
        <v>0</v>
      </c>
      <c r="F19" s="68"/>
      <c r="G19" s="317"/>
    </row>
    <row r="20" spans="1:7" s="3" customFormat="1" ht="22.5" customHeight="1" x14ac:dyDescent="0.35">
      <c r="A20" s="605" t="s">
        <v>140</v>
      </c>
      <c r="B20" s="606"/>
      <c r="C20" s="456"/>
      <c r="D20" s="68"/>
      <c r="E20" s="189"/>
      <c r="F20" s="68"/>
      <c r="G20" s="317"/>
    </row>
    <row r="21" spans="1:7" s="3" customFormat="1" ht="36" customHeight="1" x14ac:dyDescent="0.35">
      <c r="A21" s="64" t="s">
        <v>155</v>
      </c>
      <c r="B21" s="156" t="s">
        <v>137</v>
      </c>
      <c r="C21" s="66" t="b">
        <v>0</v>
      </c>
      <c r="D21" s="189">
        <v>10</v>
      </c>
      <c r="E21" s="189">
        <f t="shared" si="0"/>
        <v>0</v>
      </c>
      <c r="F21" s="68"/>
      <c r="G21" s="317"/>
    </row>
    <row r="22" spans="1:7" s="159" customFormat="1" ht="36" customHeight="1" x14ac:dyDescent="0.35">
      <c r="A22" s="64" t="s">
        <v>156</v>
      </c>
      <c r="B22" s="157" t="s">
        <v>232</v>
      </c>
      <c r="C22" s="66" t="b">
        <v>0</v>
      </c>
      <c r="D22" s="189">
        <v>2</v>
      </c>
      <c r="E22" s="189">
        <f t="shared" si="0"/>
        <v>0</v>
      </c>
      <c r="F22" s="158"/>
      <c r="G22" s="317"/>
    </row>
    <row r="23" spans="1:7" s="3" customFormat="1" ht="36" customHeight="1" x14ac:dyDescent="0.35">
      <c r="A23" s="64" t="s">
        <v>157</v>
      </c>
      <c r="B23" s="156" t="s">
        <v>233</v>
      </c>
      <c r="C23" s="66" t="b">
        <v>0</v>
      </c>
      <c r="D23" s="189">
        <v>7</v>
      </c>
      <c r="E23" s="189">
        <f t="shared" si="0"/>
        <v>0</v>
      </c>
      <c r="F23" s="68"/>
      <c r="G23" s="317"/>
    </row>
    <row r="24" spans="1:7" s="3" customFormat="1" ht="36" customHeight="1" x14ac:dyDescent="0.35">
      <c r="A24" s="64" t="s">
        <v>158</v>
      </c>
      <c r="B24" s="156" t="s">
        <v>138</v>
      </c>
      <c r="C24" s="66" t="b">
        <v>0</v>
      </c>
      <c r="D24" s="189">
        <v>3</v>
      </c>
      <c r="E24" s="189">
        <f t="shared" si="0"/>
        <v>0</v>
      </c>
      <c r="F24" s="68"/>
      <c r="G24" s="317"/>
    </row>
    <row r="25" spans="1:7" s="3" customFormat="1" ht="36" customHeight="1" x14ac:dyDescent="0.35">
      <c r="A25" s="64" t="s">
        <v>159</v>
      </c>
      <c r="B25" s="45" t="s">
        <v>139</v>
      </c>
      <c r="C25" s="66" t="b">
        <v>0</v>
      </c>
      <c r="D25" s="189">
        <v>8</v>
      </c>
      <c r="E25" s="189">
        <f t="shared" si="0"/>
        <v>0</v>
      </c>
      <c r="F25" s="68"/>
      <c r="G25" s="317"/>
    </row>
    <row r="26" spans="1:7" s="3" customFormat="1" ht="36" customHeight="1" x14ac:dyDescent="0.35">
      <c r="A26" s="64" t="s">
        <v>160</v>
      </c>
      <c r="B26" s="45" t="s">
        <v>141</v>
      </c>
      <c r="C26" s="66" t="b">
        <v>0</v>
      </c>
      <c r="D26" s="189">
        <v>1</v>
      </c>
      <c r="E26" s="189">
        <f t="shared" si="0"/>
        <v>0</v>
      </c>
      <c r="F26" s="68"/>
      <c r="G26" s="317"/>
    </row>
    <row r="27" spans="1:7" s="3" customFormat="1" ht="36" customHeight="1" x14ac:dyDescent="0.35">
      <c r="A27" s="64" t="s">
        <v>161</v>
      </c>
      <c r="B27" s="226" t="s">
        <v>261</v>
      </c>
      <c r="C27" s="66" t="b">
        <v>0</v>
      </c>
      <c r="D27" s="189">
        <v>10</v>
      </c>
      <c r="E27" s="189">
        <f t="shared" si="0"/>
        <v>0</v>
      </c>
      <c r="F27" s="68"/>
      <c r="G27" s="317"/>
    </row>
    <row r="28" spans="1:7" s="3" customFormat="1" ht="49.5" customHeight="1" x14ac:dyDescent="0.35">
      <c r="A28" s="64" t="s">
        <v>162</v>
      </c>
      <c r="B28" s="45" t="s">
        <v>142</v>
      </c>
      <c r="C28" s="66" t="b">
        <v>0</v>
      </c>
      <c r="D28" s="189">
        <v>3</v>
      </c>
      <c r="E28" s="189">
        <f t="shared" si="0"/>
        <v>0</v>
      </c>
      <c r="F28" s="68"/>
      <c r="G28" s="317"/>
    </row>
    <row r="29" spans="1:7" s="3" customFormat="1" ht="36" customHeight="1" x14ac:dyDescent="0.35">
      <c r="A29" s="64" t="s">
        <v>163</v>
      </c>
      <c r="B29" s="45" t="s">
        <v>143</v>
      </c>
      <c r="C29" s="66" t="b">
        <v>0</v>
      </c>
      <c r="D29" s="189">
        <v>5</v>
      </c>
      <c r="E29" s="189">
        <f t="shared" si="0"/>
        <v>0</v>
      </c>
      <c r="F29" s="68"/>
      <c r="G29" s="317"/>
    </row>
    <row r="30" spans="1:7" s="3" customFormat="1" ht="36" customHeight="1" thickBot="1" x14ac:dyDescent="0.4">
      <c r="A30" s="64" t="s">
        <v>164</v>
      </c>
      <c r="B30" s="207" t="s">
        <v>234</v>
      </c>
      <c r="C30" s="66" t="b">
        <v>0</v>
      </c>
      <c r="D30" s="189">
        <v>8</v>
      </c>
      <c r="E30" s="189">
        <f t="shared" si="0"/>
        <v>0</v>
      </c>
      <c r="F30" s="68"/>
      <c r="G30" s="317"/>
    </row>
    <row r="31" spans="1:7" s="3" customFormat="1" ht="16.5" thickTop="1" thickBot="1" x14ac:dyDescent="0.4">
      <c r="A31" s="27"/>
      <c r="B31" s="389"/>
      <c r="C31" s="8"/>
      <c r="D31" s="189"/>
      <c r="E31" s="40"/>
      <c r="F31" s="4"/>
      <c r="G31" s="487"/>
    </row>
    <row r="32" spans="1:7" s="3" customFormat="1" ht="15.75" customHeight="1" thickBot="1" x14ac:dyDescent="0.4">
      <c r="A32" s="10"/>
      <c r="B32" s="65" t="s">
        <v>29</v>
      </c>
      <c r="C32" s="255">
        <f>E32/D32</f>
        <v>0</v>
      </c>
      <c r="D32" s="189">
        <f>SUM(D8:D31)</f>
        <v>133</v>
      </c>
      <c r="E32" s="189">
        <f>SUM(E8:E31)</f>
        <v>0</v>
      </c>
      <c r="F32" s="4"/>
      <c r="G32" s="487"/>
    </row>
    <row r="33" spans="1:7" s="3" customFormat="1" ht="16" thickBot="1" x14ac:dyDescent="0.4">
      <c r="B33" s="5"/>
      <c r="C33" s="5"/>
      <c r="D33" s="68"/>
      <c r="E33" s="40"/>
      <c r="F33" s="4"/>
      <c r="G33" s="487"/>
    </row>
    <row r="34" spans="1:7" s="3" customFormat="1" ht="117.75" customHeight="1" thickBot="1" x14ac:dyDescent="0.4">
      <c r="A34" s="588" t="s">
        <v>46</v>
      </c>
      <c r="B34" s="600"/>
      <c r="C34" s="589"/>
      <c r="D34" s="68"/>
      <c r="E34" s="40"/>
      <c r="F34" s="4"/>
      <c r="G34" s="487"/>
    </row>
    <row r="35" spans="1:7" x14ac:dyDescent="0.35">
      <c r="D35" s="67"/>
      <c r="E35" s="184"/>
      <c r="F35" s="67"/>
    </row>
    <row r="36" spans="1:7" x14ac:dyDescent="0.35">
      <c r="D36" s="67"/>
      <c r="E36" s="184"/>
      <c r="F36" s="67"/>
    </row>
    <row r="37" spans="1:7" x14ac:dyDescent="0.35">
      <c r="D37" s="67"/>
      <c r="E37" s="184"/>
      <c r="F37" s="67"/>
    </row>
    <row r="38" spans="1:7" x14ac:dyDescent="0.35">
      <c r="D38" s="67"/>
      <c r="E38" s="184"/>
      <c r="F38" s="67"/>
    </row>
    <row r="39" spans="1:7" x14ac:dyDescent="0.35">
      <c r="D39" s="67"/>
      <c r="E39" s="184"/>
      <c r="F39" s="67"/>
    </row>
  </sheetData>
  <mergeCells count="8">
    <mergeCell ref="A3:B3"/>
    <mergeCell ref="A4:C4"/>
    <mergeCell ref="A34:C34"/>
    <mergeCell ref="A7:B7"/>
    <mergeCell ref="A12:B12"/>
    <mergeCell ref="A16:B16"/>
    <mergeCell ref="A20:B20"/>
    <mergeCell ref="A5:C5"/>
  </mergeCells>
  <phoneticPr fontId="16" type="noConversion"/>
  <pageMargins left="0.7" right="0.7" top="0.75" bottom="0.75" header="0.3" footer="0.3"/>
  <pageSetup scale="57" fitToHeight="10" orientation="portrait" r:id="rId1"/>
  <headerFooter>
    <oddHeader>&amp;LMetric 2.2 
Facility Quality</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412750</xdr:colOff>
                    <xdr:row>7</xdr:row>
                    <xdr:rowOff>0</xdr:rowOff>
                  </from>
                  <to>
                    <xdr:col>2</xdr:col>
                    <xdr:colOff>717550</xdr:colOff>
                    <xdr:row>8</xdr:row>
                    <xdr:rowOff>0</xdr:rowOff>
                  </to>
                </anchor>
              </controlPr>
            </control>
          </mc:Choice>
        </mc:AlternateContent>
        <mc:AlternateContent xmlns:mc="http://schemas.openxmlformats.org/markup-compatibility/2006">
          <mc:Choice Requires="x14">
            <control shapeId="18438" r:id="rId5" name="Check Box 6">
              <controlPr defaultSize="0" autoFill="0" autoLine="0" autoPict="0">
                <anchor moveWithCells="1">
                  <from>
                    <xdr:col>2</xdr:col>
                    <xdr:colOff>412750</xdr:colOff>
                    <xdr:row>8</xdr:row>
                    <xdr:rowOff>12700</xdr:rowOff>
                  </from>
                  <to>
                    <xdr:col>2</xdr:col>
                    <xdr:colOff>717550</xdr:colOff>
                    <xdr:row>8</xdr:row>
                    <xdr:rowOff>228600</xdr:rowOff>
                  </to>
                </anchor>
              </controlPr>
            </control>
          </mc:Choice>
        </mc:AlternateContent>
        <mc:AlternateContent xmlns:mc="http://schemas.openxmlformats.org/markup-compatibility/2006">
          <mc:Choice Requires="x14">
            <control shapeId="18481" r:id="rId6" name="Check Box 49">
              <controlPr defaultSize="0" autoFill="0" autoLine="0" autoPict="0">
                <anchor moveWithCells="1">
                  <from>
                    <xdr:col>2</xdr:col>
                    <xdr:colOff>412750</xdr:colOff>
                    <xdr:row>9</xdr:row>
                    <xdr:rowOff>12700</xdr:rowOff>
                  </from>
                  <to>
                    <xdr:col>2</xdr:col>
                    <xdr:colOff>717550</xdr:colOff>
                    <xdr:row>9</xdr:row>
                    <xdr:rowOff>228600</xdr:rowOff>
                  </to>
                </anchor>
              </controlPr>
            </control>
          </mc:Choice>
        </mc:AlternateContent>
        <mc:AlternateContent xmlns:mc="http://schemas.openxmlformats.org/markup-compatibility/2006">
          <mc:Choice Requires="x14">
            <control shapeId="18482" r:id="rId7" name="Check Box 50">
              <controlPr defaultSize="0" autoFill="0" autoLine="0" autoPict="0">
                <anchor moveWithCells="1">
                  <from>
                    <xdr:col>2</xdr:col>
                    <xdr:colOff>412750</xdr:colOff>
                    <xdr:row>10</xdr:row>
                    <xdr:rowOff>12700</xdr:rowOff>
                  </from>
                  <to>
                    <xdr:col>2</xdr:col>
                    <xdr:colOff>717550</xdr:colOff>
                    <xdr:row>10</xdr:row>
                    <xdr:rowOff>228600</xdr:rowOff>
                  </to>
                </anchor>
              </controlPr>
            </control>
          </mc:Choice>
        </mc:AlternateContent>
        <mc:AlternateContent xmlns:mc="http://schemas.openxmlformats.org/markup-compatibility/2006">
          <mc:Choice Requires="x14">
            <control shapeId="18483" r:id="rId8" name="Check Box 51">
              <controlPr defaultSize="0" autoFill="0" autoLine="0" autoPict="0">
                <anchor moveWithCells="1">
                  <from>
                    <xdr:col>2</xdr:col>
                    <xdr:colOff>412750</xdr:colOff>
                    <xdr:row>12</xdr:row>
                    <xdr:rowOff>12700</xdr:rowOff>
                  </from>
                  <to>
                    <xdr:col>2</xdr:col>
                    <xdr:colOff>717550</xdr:colOff>
                    <xdr:row>12</xdr:row>
                    <xdr:rowOff>228600</xdr:rowOff>
                  </to>
                </anchor>
              </controlPr>
            </control>
          </mc:Choice>
        </mc:AlternateContent>
        <mc:AlternateContent xmlns:mc="http://schemas.openxmlformats.org/markup-compatibility/2006">
          <mc:Choice Requires="x14">
            <control shapeId="18484" r:id="rId9" name="Check Box 52">
              <controlPr defaultSize="0" autoFill="0" autoLine="0" autoPict="0">
                <anchor moveWithCells="1">
                  <from>
                    <xdr:col>2</xdr:col>
                    <xdr:colOff>412750</xdr:colOff>
                    <xdr:row>13</xdr:row>
                    <xdr:rowOff>12700</xdr:rowOff>
                  </from>
                  <to>
                    <xdr:col>2</xdr:col>
                    <xdr:colOff>717550</xdr:colOff>
                    <xdr:row>13</xdr:row>
                    <xdr:rowOff>228600</xdr:rowOff>
                  </to>
                </anchor>
              </controlPr>
            </control>
          </mc:Choice>
        </mc:AlternateContent>
        <mc:AlternateContent xmlns:mc="http://schemas.openxmlformats.org/markup-compatibility/2006">
          <mc:Choice Requires="x14">
            <control shapeId="18485" r:id="rId10" name="Check Box 53">
              <controlPr defaultSize="0" autoFill="0" autoLine="0" autoPict="0">
                <anchor moveWithCells="1">
                  <from>
                    <xdr:col>2</xdr:col>
                    <xdr:colOff>412750</xdr:colOff>
                    <xdr:row>14</xdr:row>
                    <xdr:rowOff>12700</xdr:rowOff>
                  </from>
                  <to>
                    <xdr:col>2</xdr:col>
                    <xdr:colOff>717550</xdr:colOff>
                    <xdr:row>14</xdr:row>
                    <xdr:rowOff>228600</xdr:rowOff>
                  </to>
                </anchor>
              </controlPr>
            </control>
          </mc:Choice>
        </mc:AlternateContent>
        <mc:AlternateContent xmlns:mc="http://schemas.openxmlformats.org/markup-compatibility/2006">
          <mc:Choice Requires="x14">
            <control shapeId="18487" r:id="rId11" name="Check Box 55">
              <controlPr defaultSize="0" autoFill="0" autoLine="0" autoPict="0">
                <anchor moveWithCells="1">
                  <from>
                    <xdr:col>2</xdr:col>
                    <xdr:colOff>412750</xdr:colOff>
                    <xdr:row>16</xdr:row>
                    <xdr:rowOff>12700</xdr:rowOff>
                  </from>
                  <to>
                    <xdr:col>2</xdr:col>
                    <xdr:colOff>717550</xdr:colOff>
                    <xdr:row>16</xdr:row>
                    <xdr:rowOff>228600</xdr:rowOff>
                  </to>
                </anchor>
              </controlPr>
            </control>
          </mc:Choice>
        </mc:AlternateContent>
        <mc:AlternateContent xmlns:mc="http://schemas.openxmlformats.org/markup-compatibility/2006">
          <mc:Choice Requires="x14">
            <control shapeId="18488" r:id="rId12" name="Check Box 56">
              <controlPr defaultSize="0" autoFill="0" autoLine="0" autoPict="0">
                <anchor moveWithCells="1">
                  <from>
                    <xdr:col>2</xdr:col>
                    <xdr:colOff>412750</xdr:colOff>
                    <xdr:row>17</xdr:row>
                    <xdr:rowOff>12700</xdr:rowOff>
                  </from>
                  <to>
                    <xdr:col>2</xdr:col>
                    <xdr:colOff>717550</xdr:colOff>
                    <xdr:row>17</xdr:row>
                    <xdr:rowOff>228600</xdr:rowOff>
                  </to>
                </anchor>
              </controlPr>
            </control>
          </mc:Choice>
        </mc:AlternateContent>
        <mc:AlternateContent xmlns:mc="http://schemas.openxmlformats.org/markup-compatibility/2006">
          <mc:Choice Requires="x14">
            <control shapeId="18489" r:id="rId13" name="Check Box 57">
              <controlPr defaultSize="0" autoFill="0" autoLine="0" autoPict="0">
                <anchor moveWithCells="1">
                  <from>
                    <xdr:col>2</xdr:col>
                    <xdr:colOff>412750</xdr:colOff>
                    <xdr:row>18</xdr:row>
                    <xdr:rowOff>12700</xdr:rowOff>
                  </from>
                  <to>
                    <xdr:col>2</xdr:col>
                    <xdr:colOff>717550</xdr:colOff>
                    <xdr:row>18</xdr:row>
                    <xdr:rowOff>228600</xdr:rowOff>
                  </to>
                </anchor>
              </controlPr>
            </control>
          </mc:Choice>
        </mc:AlternateContent>
        <mc:AlternateContent xmlns:mc="http://schemas.openxmlformats.org/markup-compatibility/2006">
          <mc:Choice Requires="x14">
            <control shapeId="18491" r:id="rId14" name="Check Box 59">
              <controlPr defaultSize="0" autoFill="0" autoLine="0" autoPict="0">
                <anchor moveWithCells="1">
                  <from>
                    <xdr:col>2</xdr:col>
                    <xdr:colOff>412750</xdr:colOff>
                    <xdr:row>20</xdr:row>
                    <xdr:rowOff>12700</xdr:rowOff>
                  </from>
                  <to>
                    <xdr:col>2</xdr:col>
                    <xdr:colOff>717550</xdr:colOff>
                    <xdr:row>20</xdr:row>
                    <xdr:rowOff>228600</xdr:rowOff>
                  </to>
                </anchor>
              </controlPr>
            </control>
          </mc:Choice>
        </mc:AlternateContent>
        <mc:AlternateContent xmlns:mc="http://schemas.openxmlformats.org/markup-compatibility/2006">
          <mc:Choice Requires="x14">
            <control shapeId="18492" r:id="rId15" name="Check Box 60">
              <controlPr defaultSize="0" autoFill="0" autoLine="0" autoPict="0">
                <anchor moveWithCells="1">
                  <from>
                    <xdr:col>2</xdr:col>
                    <xdr:colOff>412750</xdr:colOff>
                    <xdr:row>21</xdr:row>
                    <xdr:rowOff>12700</xdr:rowOff>
                  </from>
                  <to>
                    <xdr:col>2</xdr:col>
                    <xdr:colOff>717550</xdr:colOff>
                    <xdr:row>21</xdr:row>
                    <xdr:rowOff>228600</xdr:rowOff>
                  </to>
                </anchor>
              </controlPr>
            </control>
          </mc:Choice>
        </mc:AlternateContent>
        <mc:AlternateContent xmlns:mc="http://schemas.openxmlformats.org/markup-compatibility/2006">
          <mc:Choice Requires="x14">
            <control shapeId="18493" r:id="rId16" name="Check Box 61">
              <controlPr defaultSize="0" autoFill="0" autoLine="0" autoPict="0">
                <anchor moveWithCells="1">
                  <from>
                    <xdr:col>2</xdr:col>
                    <xdr:colOff>412750</xdr:colOff>
                    <xdr:row>22</xdr:row>
                    <xdr:rowOff>12700</xdr:rowOff>
                  </from>
                  <to>
                    <xdr:col>2</xdr:col>
                    <xdr:colOff>717550</xdr:colOff>
                    <xdr:row>22</xdr:row>
                    <xdr:rowOff>228600</xdr:rowOff>
                  </to>
                </anchor>
              </controlPr>
            </control>
          </mc:Choice>
        </mc:AlternateContent>
        <mc:AlternateContent xmlns:mc="http://schemas.openxmlformats.org/markup-compatibility/2006">
          <mc:Choice Requires="x14">
            <control shapeId="18494" r:id="rId17" name="Check Box 62">
              <controlPr defaultSize="0" autoFill="0" autoLine="0" autoPict="0">
                <anchor moveWithCells="1">
                  <from>
                    <xdr:col>2</xdr:col>
                    <xdr:colOff>412750</xdr:colOff>
                    <xdr:row>23</xdr:row>
                    <xdr:rowOff>12700</xdr:rowOff>
                  </from>
                  <to>
                    <xdr:col>2</xdr:col>
                    <xdr:colOff>717550</xdr:colOff>
                    <xdr:row>23</xdr:row>
                    <xdr:rowOff>228600</xdr:rowOff>
                  </to>
                </anchor>
              </controlPr>
            </control>
          </mc:Choice>
        </mc:AlternateContent>
        <mc:AlternateContent xmlns:mc="http://schemas.openxmlformats.org/markup-compatibility/2006">
          <mc:Choice Requires="x14">
            <control shapeId="18495" r:id="rId18" name="Check Box 63">
              <controlPr defaultSize="0" autoFill="0" autoLine="0" autoPict="0">
                <anchor moveWithCells="1">
                  <from>
                    <xdr:col>2</xdr:col>
                    <xdr:colOff>412750</xdr:colOff>
                    <xdr:row>24</xdr:row>
                    <xdr:rowOff>12700</xdr:rowOff>
                  </from>
                  <to>
                    <xdr:col>2</xdr:col>
                    <xdr:colOff>717550</xdr:colOff>
                    <xdr:row>24</xdr:row>
                    <xdr:rowOff>228600</xdr:rowOff>
                  </to>
                </anchor>
              </controlPr>
            </control>
          </mc:Choice>
        </mc:AlternateContent>
        <mc:AlternateContent xmlns:mc="http://schemas.openxmlformats.org/markup-compatibility/2006">
          <mc:Choice Requires="x14">
            <control shapeId="18496" r:id="rId19" name="Check Box 64">
              <controlPr defaultSize="0" autoFill="0" autoLine="0" autoPict="0">
                <anchor moveWithCells="1">
                  <from>
                    <xdr:col>2</xdr:col>
                    <xdr:colOff>412750</xdr:colOff>
                    <xdr:row>25</xdr:row>
                    <xdr:rowOff>12700</xdr:rowOff>
                  </from>
                  <to>
                    <xdr:col>2</xdr:col>
                    <xdr:colOff>717550</xdr:colOff>
                    <xdr:row>25</xdr:row>
                    <xdr:rowOff>228600</xdr:rowOff>
                  </to>
                </anchor>
              </controlPr>
            </control>
          </mc:Choice>
        </mc:AlternateContent>
        <mc:AlternateContent xmlns:mc="http://schemas.openxmlformats.org/markup-compatibility/2006">
          <mc:Choice Requires="x14">
            <control shapeId="18497" r:id="rId20" name="Check Box 65">
              <controlPr defaultSize="0" autoFill="0" autoLine="0" autoPict="0">
                <anchor moveWithCells="1">
                  <from>
                    <xdr:col>2</xdr:col>
                    <xdr:colOff>412750</xdr:colOff>
                    <xdr:row>26</xdr:row>
                    <xdr:rowOff>12700</xdr:rowOff>
                  </from>
                  <to>
                    <xdr:col>2</xdr:col>
                    <xdr:colOff>717550</xdr:colOff>
                    <xdr:row>26</xdr:row>
                    <xdr:rowOff>228600</xdr:rowOff>
                  </to>
                </anchor>
              </controlPr>
            </control>
          </mc:Choice>
        </mc:AlternateContent>
        <mc:AlternateContent xmlns:mc="http://schemas.openxmlformats.org/markup-compatibility/2006">
          <mc:Choice Requires="x14">
            <control shapeId="18498" r:id="rId21" name="Check Box 66">
              <controlPr defaultSize="0" autoFill="0" autoLine="0" autoPict="0">
                <anchor moveWithCells="1">
                  <from>
                    <xdr:col>2</xdr:col>
                    <xdr:colOff>412750</xdr:colOff>
                    <xdr:row>27</xdr:row>
                    <xdr:rowOff>12700</xdr:rowOff>
                  </from>
                  <to>
                    <xdr:col>2</xdr:col>
                    <xdr:colOff>717550</xdr:colOff>
                    <xdr:row>27</xdr:row>
                    <xdr:rowOff>228600</xdr:rowOff>
                  </to>
                </anchor>
              </controlPr>
            </control>
          </mc:Choice>
        </mc:AlternateContent>
        <mc:AlternateContent xmlns:mc="http://schemas.openxmlformats.org/markup-compatibility/2006">
          <mc:Choice Requires="x14">
            <control shapeId="18499" r:id="rId22" name="Check Box 67">
              <controlPr defaultSize="0" autoFill="0" autoLine="0" autoPict="0">
                <anchor moveWithCells="1">
                  <from>
                    <xdr:col>2</xdr:col>
                    <xdr:colOff>412750</xdr:colOff>
                    <xdr:row>28</xdr:row>
                    <xdr:rowOff>12700</xdr:rowOff>
                  </from>
                  <to>
                    <xdr:col>2</xdr:col>
                    <xdr:colOff>717550</xdr:colOff>
                    <xdr:row>28</xdr:row>
                    <xdr:rowOff>228600</xdr:rowOff>
                  </to>
                </anchor>
              </controlPr>
            </control>
          </mc:Choice>
        </mc:AlternateContent>
        <mc:AlternateContent xmlns:mc="http://schemas.openxmlformats.org/markup-compatibility/2006">
          <mc:Choice Requires="x14">
            <control shapeId="18500" r:id="rId23" name="Check Box 68">
              <controlPr defaultSize="0" autoFill="0" autoLine="0" autoPict="0">
                <anchor moveWithCells="1">
                  <from>
                    <xdr:col>2</xdr:col>
                    <xdr:colOff>412750</xdr:colOff>
                    <xdr:row>29</xdr:row>
                    <xdr:rowOff>12700</xdr:rowOff>
                  </from>
                  <to>
                    <xdr:col>2</xdr:col>
                    <xdr:colOff>717550</xdr:colOff>
                    <xdr:row>29</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R71"/>
  <sheetViews>
    <sheetView zoomScaleNormal="100" zoomScaleSheetLayoutView="100" workbookViewId="0">
      <selection activeCell="L7" sqref="L7"/>
    </sheetView>
  </sheetViews>
  <sheetFormatPr defaultRowHeight="15.5" x14ac:dyDescent="0.35"/>
  <cols>
    <col min="1" max="1" width="12.54296875" customWidth="1"/>
    <col min="2" max="2" width="43.81640625" customWidth="1"/>
    <col min="3" max="3" width="17" customWidth="1"/>
    <col min="4" max="4" width="16.26953125" customWidth="1"/>
    <col min="5" max="5" width="12.7265625" customWidth="1"/>
    <col min="6" max="6" width="12.7265625" style="184" customWidth="1"/>
    <col min="7" max="7" width="30.7265625" style="465" customWidth="1"/>
    <col min="8" max="8" width="32.7265625" customWidth="1"/>
    <col min="9" max="10" width="0" hidden="1" customWidth="1"/>
  </cols>
  <sheetData>
    <row r="1" spans="1:10" x14ac:dyDescent="0.35">
      <c r="A1" s="162" t="s">
        <v>170</v>
      </c>
      <c r="B1" s="163"/>
      <c r="C1" s="164"/>
      <c r="D1" s="162"/>
      <c r="E1" s="165"/>
      <c r="G1" s="463" t="s">
        <v>412</v>
      </c>
    </row>
    <row r="2" spans="1:10" x14ac:dyDescent="0.35">
      <c r="A2" s="162"/>
      <c r="B2" s="163"/>
      <c r="C2" s="164"/>
      <c r="D2" s="162"/>
      <c r="E2" s="165"/>
      <c r="G2" s="464" t="str">
        <f>VLOOKUP(shiptypenum,shiptbl,2,FALSE)</f>
        <v>LPD</v>
      </c>
    </row>
    <row r="3" spans="1:10" x14ac:dyDescent="0.35">
      <c r="A3" s="607" t="s">
        <v>44</v>
      </c>
      <c r="B3" s="607"/>
      <c r="C3" s="166"/>
      <c r="D3" s="162"/>
      <c r="E3" s="165"/>
    </row>
    <row r="4" spans="1:10" s="20" customFormat="1" ht="33.75" customHeight="1" x14ac:dyDescent="0.35">
      <c r="A4" s="585" t="s">
        <v>481</v>
      </c>
      <c r="B4" s="585"/>
      <c r="C4" s="585"/>
      <c r="D4" s="272"/>
      <c r="E4" s="254"/>
      <c r="G4" s="182"/>
    </row>
    <row r="5" spans="1:10" s="20" customFormat="1" ht="33.75" customHeight="1" thickBot="1" x14ac:dyDescent="0.4">
      <c r="A5" s="585" t="s">
        <v>480</v>
      </c>
      <c r="B5" s="585"/>
      <c r="C5" s="585"/>
      <c r="D5" s="245"/>
      <c r="E5" s="254"/>
      <c r="G5" s="182"/>
    </row>
    <row r="6" spans="1:10" ht="87" customHeight="1" thickTop="1" thickBot="1" x14ac:dyDescent="0.4">
      <c r="A6" s="257" t="s">
        <v>274</v>
      </c>
      <c r="B6" s="610" t="s">
        <v>277</v>
      </c>
      <c r="C6" s="611"/>
      <c r="D6" s="462" t="s">
        <v>26</v>
      </c>
      <c r="E6" s="189" t="s">
        <v>24</v>
      </c>
      <c r="F6" s="189" t="s">
        <v>25</v>
      </c>
      <c r="G6" s="483"/>
    </row>
    <row r="7" spans="1:10" ht="79.5" customHeight="1" thickTop="1" thickBot="1" x14ac:dyDescent="0.4">
      <c r="A7" s="259"/>
      <c r="B7" s="595" t="s">
        <v>263</v>
      </c>
      <c r="C7" s="596"/>
      <c r="D7" s="461" t="s">
        <v>267</v>
      </c>
      <c r="E7" s="165"/>
      <c r="G7" s="483"/>
    </row>
    <row r="8" spans="1:10" ht="15.75" customHeight="1" x14ac:dyDescent="0.35">
      <c r="A8" s="160" t="s">
        <v>21</v>
      </c>
      <c r="B8" s="234" t="s">
        <v>414</v>
      </c>
      <c r="C8" s="360">
        <f>VLOOKUP(ship_type,recbestunderway,2,FALSE)</f>
        <v>20</v>
      </c>
      <c r="D8" s="265" t="b">
        <v>0</v>
      </c>
      <c r="E8" s="81">
        <v>10</v>
      </c>
      <c r="F8" s="184">
        <f>IF(D8,IF(C8="-",0,E8),0)</f>
        <v>0</v>
      </c>
      <c r="G8" s="483"/>
      <c r="I8">
        <f>IF(D8,1,0)</f>
        <v>0</v>
      </c>
    </row>
    <row r="9" spans="1:10" ht="15.75" customHeight="1" x14ac:dyDescent="0.35">
      <c r="A9" s="160"/>
      <c r="B9" s="58"/>
      <c r="C9" s="360">
        <f>VLOOKUP(ship_type,recbetterunderway,2,FALSE)</f>
        <v>16</v>
      </c>
      <c r="D9" s="273" t="b">
        <v>0</v>
      </c>
      <c r="E9" s="81">
        <f>0.85*E8</f>
        <v>8.5</v>
      </c>
      <c r="F9" s="184">
        <f t="shared" ref="F9:F19" si="0">IF(D9,IF(C9="-",0,E9),0)</f>
        <v>0</v>
      </c>
      <c r="G9" s="483"/>
      <c r="H9" t="str">
        <f>IF(J10&gt;1,"Entry error, select one answer","")</f>
        <v/>
      </c>
      <c r="I9">
        <f t="shared" ref="I9:I19" si="1">IF(D9,1,0)</f>
        <v>0</v>
      </c>
    </row>
    <row r="10" spans="1:10" ht="15.75" customHeight="1" x14ac:dyDescent="0.35">
      <c r="A10" s="160"/>
      <c r="B10" s="256"/>
      <c r="C10" s="361">
        <f>VLOOKUP(ship_type,recgoodunderway,2,FALSE)</f>
        <v>12</v>
      </c>
      <c r="D10" s="265" t="b">
        <v>0</v>
      </c>
      <c r="E10" s="81">
        <f>E8*0.75</f>
        <v>7.5</v>
      </c>
      <c r="F10" s="184">
        <f t="shared" si="0"/>
        <v>0</v>
      </c>
      <c r="G10" s="483"/>
      <c r="I10">
        <f t="shared" si="1"/>
        <v>0</v>
      </c>
      <c r="J10">
        <f>SUM(I8:I10)</f>
        <v>0</v>
      </c>
    </row>
    <row r="11" spans="1:10" ht="15.75" customHeight="1" x14ac:dyDescent="0.35">
      <c r="A11" s="160" t="s">
        <v>22</v>
      </c>
      <c r="B11" s="195" t="s">
        <v>165</v>
      </c>
      <c r="C11" s="362">
        <f>VLOOKUP(ship_type,recbestunderway,3,FALSE)</f>
        <v>3</v>
      </c>
      <c r="D11" s="265" t="b">
        <v>0</v>
      </c>
      <c r="E11" s="81">
        <v>10</v>
      </c>
      <c r="F11" s="184">
        <f t="shared" si="0"/>
        <v>0</v>
      </c>
      <c r="G11" s="483"/>
      <c r="I11">
        <f>IF(D11,1,0)</f>
        <v>0</v>
      </c>
    </row>
    <row r="12" spans="1:10" ht="15.75" customHeight="1" x14ac:dyDescent="0.35">
      <c r="A12" s="169"/>
      <c r="B12" s="170"/>
      <c r="C12" s="362">
        <f>VLOOKUP(ship_type,recbetterunderway,3,FALSE)</f>
        <v>2</v>
      </c>
      <c r="D12" s="265" t="b">
        <v>0</v>
      </c>
      <c r="E12" s="81">
        <f>0.85*E11</f>
        <v>8.5</v>
      </c>
      <c r="F12" s="184">
        <f t="shared" si="0"/>
        <v>0</v>
      </c>
      <c r="G12" s="483"/>
      <c r="H12" t="str">
        <f>IF(J13&gt;1,"Entry error, select one answer","")</f>
        <v/>
      </c>
      <c r="I12">
        <f t="shared" si="1"/>
        <v>0</v>
      </c>
    </row>
    <row r="13" spans="1:10" ht="15.75" customHeight="1" x14ac:dyDescent="0.35">
      <c r="A13" s="169"/>
      <c r="B13" s="246"/>
      <c r="C13" s="361">
        <f>VLOOKUP(ship_type,recgoodunderway,3,FALSE)</f>
        <v>1</v>
      </c>
      <c r="D13" s="265" t="b">
        <v>0</v>
      </c>
      <c r="E13" s="81">
        <f>E11*0.75</f>
        <v>7.5</v>
      </c>
      <c r="F13" s="184">
        <f t="shared" si="0"/>
        <v>0</v>
      </c>
      <c r="G13" s="483"/>
      <c r="I13">
        <f t="shared" si="1"/>
        <v>0</v>
      </c>
      <c r="J13">
        <f>SUM(I11:I13)</f>
        <v>0</v>
      </c>
    </row>
    <row r="14" spans="1:10" ht="15.75" customHeight="1" x14ac:dyDescent="0.35">
      <c r="A14" s="160" t="s">
        <v>23</v>
      </c>
      <c r="B14" s="195" t="s">
        <v>166</v>
      </c>
      <c r="C14" s="362">
        <f>VLOOKUP(ship_type,recbestunderway,4,FALSE)</f>
        <v>1</v>
      </c>
      <c r="D14" s="265" t="b">
        <v>0</v>
      </c>
      <c r="E14" s="81">
        <v>10</v>
      </c>
      <c r="F14" s="184">
        <f t="shared" si="0"/>
        <v>0</v>
      </c>
      <c r="G14" s="483"/>
      <c r="I14">
        <f>IF(D14,1,0)</f>
        <v>0</v>
      </c>
    </row>
    <row r="15" spans="1:10" ht="15.75" customHeight="1" x14ac:dyDescent="0.35">
      <c r="A15" s="267"/>
      <c r="B15" s="170"/>
      <c r="C15" s="362" t="str">
        <f>VLOOKUP(ship_type,recbetterunderway,4,FALSE)</f>
        <v>-</v>
      </c>
      <c r="D15" s="265" t="b">
        <v>0</v>
      </c>
      <c r="E15" s="81">
        <f>0.85*E14</f>
        <v>8.5</v>
      </c>
      <c r="F15" s="184">
        <f t="shared" si="0"/>
        <v>0</v>
      </c>
      <c r="G15" s="483"/>
      <c r="H15" t="str">
        <f>IF(J16&gt;1,"Entry error, select one answer","")</f>
        <v/>
      </c>
      <c r="I15">
        <f t="shared" si="1"/>
        <v>0</v>
      </c>
    </row>
    <row r="16" spans="1:10" ht="15.75" customHeight="1" x14ac:dyDescent="0.35">
      <c r="A16" s="267"/>
      <c r="B16" s="246"/>
      <c r="C16" s="361" t="str">
        <f>VLOOKUP(ship_type,recgoodunderway,4,FALSE)</f>
        <v>-</v>
      </c>
      <c r="D16" s="265" t="b">
        <v>0</v>
      </c>
      <c r="E16" s="81">
        <f>E14*0.75</f>
        <v>7.5</v>
      </c>
      <c r="F16" s="184">
        <f t="shared" si="0"/>
        <v>0</v>
      </c>
      <c r="G16" s="483"/>
      <c r="I16">
        <f t="shared" si="1"/>
        <v>0</v>
      </c>
      <c r="J16">
        <f>SUM(I14:I16)</f>
        <v>0</v>
      </c>
    </row>
    <row r="17" spans="1:18" ht="15.75" customHeight="1" x14ac:dyDescent="0.35">
      <c r="A17" s="160" t="s">
        <v>58</v>
      </c>
      <c r="B17" s="195" t="s">
        <v>167</v>
      </c>
      <c r="C17" s="362">
        <f>VLOOKUP(ship_type,recbestunderway,5,FALSE)</f>
        <v>6</v>
      </c>
      <c r="D17" s="265" t="b">
        <v>0</v>
      </c>
      <c r="E17" s="81">
        <v>10</v>
      </c>
      <c r="F17" s="184">
        <f t="shared" si="0"/>
        <v>0</v>
      </c>
      <c r="G17" s="483"/>
      <c r="I17">
        <f>IF(D17,1,0)</f>
        <v>0</v>
      </c>
    </row>
    <row r="18" spans="1:18" ht="15.75" customHeight="1" x14ac:dyDescent="0.35">
      <c r="A18" s="267"/>
      <c r="B18" s="170"/>
      <c r="C18" s="362">
        <f>VLOOKUP(ship_type,recbetterunderway,5,FALSE)</f>
        <v>5</v>
      </c>
      <c r="D18" s="265" t="b">
        <v>0</v>
      </c>
      <c r="E18" s="81">
        <f>0.85*E17</f>
        <v>8.5</v>
      </c>
      <c r="F18" s="184">
        <f t="shared" si="0"/>
        <v>0</v>
      </c>
      <c r="G18" s="483"/>
      <c r="H18" t="str">
        <f>IF(J19&gt;1,"Entry error, select one answer","")</f>
        <v/>
      </c>
      <c r="I18">
        <f t="shared" si="1"/>
        <v>0</v>
      </c>
    </row>
    <row r="19" spans="1:18" ht="15.75" customHeight="1" x14ac:dyDescent="0.35">
      <c r="A19" s="267"/>
      <c r="B19" s="246"/>
      <c r="C19" s="361">
        <f>VLOOKUP(ship_type,recgoodunderway,5,FALSE)</f>
        <v>4</v>
      </c>
      <c r="D19" s="265" t="b">
        <v>0</v>
      </c>
      <c r="E19" s="81">
        <f>E17*0.75</f>
        <v>7.5</v>
      </c>
      <c r="F19" s="184">
        <f t="shared" si="0"/>
        <v>0</v>
      </c>
      <c r="G19" s="483"/>
      <c r="I19">
        <f t="shared" si="1"/>
        <v>0</v>
      </c>
      <c r="J19">
        <f>SUM(I17:I19)</f>
        <v>0</v>
      </c>
    </row>
    <row r="20" spans="1:18" ht="35.25" customHeight="1" x14ac:dyDescent="0.35">
      <c r="A20" s="160" t="s">
        <v>59</v>
      </c>
      <c r="B20" s="608" t="s">
        <v>262</v>
      </c>
      <c r="C20" s="609"/>
      <c r="D20" s="264" t="b">
        <v>0</v>
      </c>
      <c r="E20" s="81">
        <v>8</v>
      </c>
      <c r="F20" s="184">
        <f t="shared" ref="F20:F21" si="2">IF(D20,E20,0)</f>
        <v>0</v>
      </c>
      <c r="G20" s="483"/>
      <c r="H20" s="174"/>
      <c r="I20" s="174"/>
      <c r="J20" s="174"/>
      <c r="K20" s="174"/>
      <c r="L20" s="174"/>
      <c r="M20" s="174"/>
      <c r="N20" s="174"/>
      <c r="O20" s="174"/>
      <c r="P20" s="174"/>
      <c r="Q20" s="174"/>
      <c r="R20" s="174"/>
    </row>
    <row r="21" spans="1:18" ht="34.5" customHeight="1" thickBot="1" x14ac:dyDescent="0.4">
      <c r="A21" s="160" t="s">
        <v>60</v>
      </c>
      <c r="B21" s="608" t="s">
        <v>256</v>
      </c>
      <c r="C21" s="609"/>
      <c r="D21" s="449" t="b">
        <v>0</v>
      </c>
      <c r="E21" s="81">
        <v>8</v>
      </c>
      <c r="F21" s="184">
        <f t="shared" si="2"/>
        <v>0</v>
      </c>
      <c r="G21" s="483"/>
      <c r="H21" s="174"/>
      <c r="I21" s="174"/>
      <c r="J21" s="174"/>
      <c r="K21" s="174"/>
      <c r="L21" s="174"/>
      <c r="M21" s="174"/>
      <c r="N21" s="174"/>
      <c r="O21" s="174"/>
      <c r="P21" s="174"/>
      <c r="Q21" s="174"/>
      <c r="R21" s="174"/>
    </row>
    <row r="22" spans="1:18" ht="17.25" customHeight="1" thickTop="1" thickBot="1" x14ac:dyDescent="0.4">
      <c r="A22" s="390"/>
      <c r="B22" s="391"/>
      <c r="C22" s="391"/>
      <c r="D22" s="392"/>
      <c r="E22" s="81"/>
      <c r="G22" s="329"/>
      <c r="H22" s="174"/>
      <c r="I22" s="229"/>
      <c r="J22" s="229"/>
      <c r="K22" s="174"/>
      <c r="L22" s="174"/>
      <c r="M22" s="174"/>
      <c r="N22" s="174"/>
      <c r="O22" s="174"/>
      <c r="P22" s="174"/>
      <c r="Q22" s="174"/>
      <c r="R22" s="174"/>
    </row>
    <row r="23" spans="1:18" ht="22.5" customHeight="1" thickBot="1" x14ac:dyDescent="0.4">
      <c r="A23" s="160"/>
      <c r="B23" s="613" t="s">
        <v>275</v>
      </c>
      <c r="C23" s="613"/>
      <c r="D23" s="252">
        <f>F23/E23</f>
        <v>0</v>
      </c>
      <c r="E23" s="25">
        <f>IF(shiptypenum&lt;5,SUM(#REF!+#REF!+#REF!+#REF!+E20+E17+E14+E11+E8),IF(shiptypenum=8,SUM(#REF!+#REF!+#REF!+#REF!+E20+E17+E14+E11+E8),SUM(E21,E20,E17,E14,E11,E8)))</f>
        <v>56</v>
      </c>
      <c r="F23" s="184">
        <f>SUM(F8:F21)</f>
        <v>0</v>
      </c>
      <c r="G23" s="329"/>
      <c r="H23" s="174"/>
      <c r="I23" s="229"/>
      <c r="J23" s="229"/>
      <c r="K23" s="174"/>
      <c r="L23" s="174"/>
      <c r="M23" s="174"/>
      <c r="N23" s="174"/>
      <c r="O23" s="174"/>
      <c r="P23" s="174"/>
      <c r="Q23" s="174"/>
      <c r="R23" s="174"/>
    </row>
    <row r="24" spans="1:18" ht="22.5" customHeight="1" thickBot="1" x14ac:dyDescent="0.4">
      <c r="A24" s="160"/>
      <c r="B24" s="231"/>
      <c r="C24" s="231"/>
      <c r="D24" s="261"/>
      <c r="E24" s="262"/>
      <c r="G24" s="329"/>
      <c r="H24" s="174"/>
      <c r="I24" s="229"/>
      <c r="J24" s="229"/>
      <c r="K24" s="174"/>
      <c r="L24" s="174"/>
      <c r="M24" s="174"/>
      <c r="N24" s="174"/>
      <c r="O24" s="174"/>
      <c r="P24" s="174"/>
      <c r="Q24" s="174"/>
      <c r="R24" s="174"/>
    </row>
    <row r="25" spans="1:18" ht="87" customHeight="1" thickTop="1" thickBot="1" x14ac:dyDescent="0.4">
      <c r="A25" s="258" t="s">
        <v>172</v>
      </c>
      <c r="B25" s="610" t="s">
        <v>276</v>
      </c>
      <c r="C25" s="611"/>
      <c r="D25" s="462" t="s">
        <v>26</v>
      </c>
      <c r="E25" s="189" t="s">
        <v>24</v>
      </c>
      <c r="F25" s="189" t="s">
        <v>25</v>
      </c>
      <c r="G25" s="483"/>
    </row>
    <row r="26" spans="1:18" ht="82.5" customHeight="1" thickTop="1" thickBot="1" x14ac:dyDescent="0.4">
      <c r="A26" s="260"/>
      <c r="B26" s="595" t="s">
        <v>169</v>
      </c>
      <c r="C26" s="596"/>
      <c r="D26" s="461" t="s">
        <v>267</v>
      </c>
      <c r="E26" s="165"/>
      <c r="G26" s="466"/>
    </row>
    <row r="27" spans="1:18" x14ac:dyDescent="0.35">
      <c r="A27" s="160" t="s">
        <v>264</v>
      </c>
      <c r="B27" s="234" t="s">
        <v>414</v>
      </c>
      <c r="C27" s="363">
        <f>VLOOKUP(ship_type,recbesthomeport,2,FALSE)</f>
        <v>2</v>
      </c>
      <c r="D27" s="265" t="b">
        <v>0</v>
      </c>
      <c r="E27" s="81">
        <v>10</v>
      </c>
      <c r="F27" s="184">
        <f>IF(D27,IF(C27="-",0,E27),0)</f>
        <v>0</v>
      </c>
      <c r="G27" s="483"/>
      <c r="I27">
        <f>IF(D27,1,0)</f>
        <v>0</v>
      </c>
    </row>
    <row r="28" spans="1:18" x14ac:dyDescent="0.35">
      <c r="A28" s="160"/>
      <c r="B28" s="58"/>
      <c r="C28" s="363">
        <f>VLOOKUP(ship_type,recbetterhomeport,2,FALSE)</f>
        <v>1</v>
      </c>
      <c r="D28" s="265" t="b">
        <v>0</v>
      </c>
      <c r="E28" s="81">
        <f>0.85*E27</f>
        <v>8.5</v>
      </c>
      <c r="F28" s="184">
        <f t="shared" ref="F28:F41" si="3">IF(D28,IF(C28="-",0,E28),0)</f>
        <v>0</v>
      </c>
      <c r="G28" s="483"/>
      <c r="H28" t="str">
        <f>IF(J29&gt;1,"Entry error, select one answer","")</f>
        <v/>
      </c>
      <c r="I28">
        <f t="shared" ref="I28:I29" si="4">IF(D28,1,0)</f>
        <v>0</v>
      </c>
    </row>
    <row r="29" spans="1:18" x14ac:dyDescent="0.35">
      <c r="A29" s="160"/>
      <c r="B29" s="256"/>
      <c r="C29" s="364" t="str">
        <f>VLOOKUP(ship_type,recgoodhomeport,2,FALSE)</f>
        <v>-</v>
      </c>
      <c r="D29" s="265" t="b">
        <v>0</v>
      </c>
      <c r="E29" s="81">
        <f>E27*0.75</f>
        <v>7.5</v>
      </c>
      <c r="F29" s="184">
        <f t="shared" si="3"/>
        <v>0</v>
      </c>
      <c r="G29" s="483"/>
      <c r="I29">
        <f t="shared" si="4"/>
        <v>0</v>
      </c>
      <c r="J29">
        <f>SUM(I27:I29)</f>
        <v>0</v>
      </c>
    </row>
    <row r="30" spans="1:18" x14ac:dyDescent="0.35">
      <c r="A30" s="160" t="s">
        <v>265</v>
      </c>
      <c r="B30" s="195" t="s">
        <v>165</v>
      </c>
      <c r="C30" s="365">
        <f>VLOOKUP(ship_type,recbesthomeport,3,FALSE)</f>
        <v>4</v>
      </c>
      <c r="D30" s="265" t="b">
        <v>0</v>
      </c>
      <c r="E30" s="81">
        <v>10</v>
      </c>
      <c r="F30" s="184">
        <f t="shared" si="3"/>
        <v>0</v>
      </c>
      <c r="G30" s="483"/>
      <c r="I30">
        <f>IF(D30,1,0)</f>
        <v>0</v>
      </c>
    </row>
    <row r="31" spans="1:18" x14ac:dyDescent="0.35">
      <c r="A31" s="169"/>
      <c r="B31" s="170"/>
      <c r="C31" s="365">
        <f>VLOOKUP(ship_type,recbetterhomeport,3,FALSE)</f>
        <v>2</v>
      </c>
      <c r="D31" s="265" t="b">
        <v>0</v>
      </c>
      <c r="E31" s="81">
        <f>0.85*E30</f>
        <v>8.5</v>
      </c>
      <c r="F31" s="184">
        <f t="shared" si="3"/>
        <v>0</v>
      </c>
      <c r="G31" s="483"/>
      <c r="H31" t="str">
        <f>IF(J32&gt;1,"Entry error, select one answer","")</f>
        <v/>
      </c>
      <c r="I31">
        <f t="shared" ref="I31:I32" si="5">IF(D31,1,0)</f>
        <v>0</v>
      </c>
    </row>
    <row r="32" spans="1:18" x14ac:dyDescent="0.35">
      <c r="A32" s="169"/>
      <c r="B32" s="246"/>
      <c r="C32" s="364">
        <f>VLOOKUP(ship_type,recgoodhomeport,3,FALSE)</f>
        <v>1</v>
      </c>
      <c r="D32" s="265" t="b">
        <v>0</v>
      </c>
      <c r="E32" s="81">
        <f>E30*0.75</f>
        <v>7.5</v>
      </c>
      <c r="F32" s="184">
        <f t="shared" si="3"/>
        <v>0</v>
      </c>
      <c r="G32" s="483"/>
      <c r="I32">
        <f t="shared" si="5"/>
        <v>0</v>
      </c>
      <c r="J32">
        <f>SUM(I30:I32)</f>
        <v>0</v>
      </c>
    </row>
    <row r="33" spans="1:18" x14ac:dyDescent="0.35">
      <c r="A33" s="160" t="s">
        <v>266</v>
      </c>
      <c r="B33" s="195" t="s">
        <v>166</v>
      </c>
      <c r="C33" s="365">
        <f>VLOOKUP(ship_type,recbesthomeport,4,FALSE)</f>
        <v>1</v>
      </c>
      <c r="D33" s="265" t="b">
        <v>0</v>
      </c>
      <c r="E33" s="81">
        <v>10</v>
      </c>
      <c r="F33" s="184">
        <f t="shared" si="3"/>
        <v>0</v>
      </c>
      <c r="G33" s="483"/>
      <c r="I33">
        <f>IF(D33,1,0)</f>
        <v>0</v>
      </c>
    </row>
    <row r="34" spans="1:18" x14ac:dyDescent="0.35">
      <c r="A34" s="267"/>
      <c r="B34" s="170"/>
      <c r="C34" s="365" t="str">
        <f>VLOOKUP(ship_type,recbetterhomeport,4,FALSE)</f>
        <v>-</v>
      </c>
      <c r="D34" s="265" t="b">
        <v>0</v>
      </c>
      <c r="E34" s="81">
        <f>0.85*E33</f>
        <v>8.5</v>
      </c>
      <c r="F34" s="184">
        <f t="shared" si="3"/>
        <v>0</v>
      </c>
      <c r="G34" s="483"/>
      <c r="H34" t="str">
        <f>IF(J35&gt;1,"Entry error, select one answer","")</f>
        <v/>
      </c>
      <c r="I34">
        <f t="shared" ref="I34:I35" si="6">IF(D34,1,0)</f>
        <v>0</v>
      </c>
    </row>
    <row r="35" spans="1:18" x14ac:dyDescent="0.35">
      <c r="A35" s="267"/>
      <c r="B35" s="246"/>
      <c r="C35" s="364" t="str">
        <f>VLOOKUP(ship_type,recgoodhomeport,4,FALSE)</f>
        <v>-</v>
      </c>
      <c r="D35" s="265" t="b">
        <v>0</v>
      </c>
      <c r="E35" s="81">
        <f>E33*0.75</f>
        <v>7.5</v>
      </c>
      <c r="F35" s="184">
        <f t="shared" si="3"/>
        <v>0</v>
      </c>
      <c r="G35" s="483"/>
      <c r="I35">
        <f t="shared" si="6"/>
        <v>0</v>
      </c>
      <c r="J35">
        <f>SUM(I33:I35)</f>
        <v>0</v>
      </c>
    </row>
    <row r="36" spans="1:18" x14ac:dyDescent="0.35">
      <c r="A36" s="160" t="s">
        <v>268</v>
      </c>
      <c r="B36" s="195" t="s">
        <v>167</v>
      </c>
      <c r="C36" s="365">
        <f>VLOOKUP(ship_type,recbesthomeport,5,FALSE)</f>
        <v>4</v>
      </c>
      <c r="D36" s="265" t="b">
        <v>0</v>
      </c>
      <c r="E36" s="81">
        <v>10</v>
      </c>
      <c r="F36" s="184">
        <f t="shared" si="3"/>
        <v>0</v>
      </c>
      <c r="G36" s="483"/>
      <c r="I36">
        <f>IF(D36,1,0)</f>
        <v>0</v>
      </c>
    </row>
    <row r="37" spans="1:18" x14ac:dyDescent="0.35">
      <c r="A37" s="267"/>
      <c r="B37" s="170"/>
      <c r="C37" s="365">
        <f>VLOOKUP(ship_type,recbetterhomeport,5,FALSE)</f>
        <v>2</v>
      </c>
      <c r="D37" s="265" t="b">
        <v>0</v>
      </c>
      <c r="E37" s="81">
        <f>0.85*E36</f>
        <v>8.5</v>
      </c>
      <c r="F37" s="184">
        <f t="shared" si="3"/>
        <v>0</v>
      </c>
      <c r="G37" s="483"/>
      <c r="H37" t="str">
        <f>IF(J38&gt;1,"Entry error, select one answer","")</f>
        <v/>
      </c>
      <c r="I37">
        <f t="shared" ref="I37:I38" si="7">IF(D37,1,0)</f>
        <v>0</v>
      </c>
    </row>
    <row r="38" spans="1:18" x14ac:dyDescent="0.35">
      <c r="A38" s="267"/>
      <c r="B38" s="246"/>
      <c r="C38" s="364">
        <f>VLOOKUP(ship_type,recgoodhomeport,5,FALSE)</f>
        <v>1</v>
      </c>
      <c r="D38" s="265" t="b">
        <v>0</v>
      </c>
      <c r="E38" s="81">
        <f>E36*0.75</f>
        <v>7.5</v>
      </c>
      <c r="F38" s="184">
        <f t="shared" si="3"/>
        <v>0</v>
      </c>
      <c r="G38" s="483"/>
      <c r="I38">
        <f t="shared" si="7"/>
        <v>0</v>
      </c>
      <c r="J38">
        <f>SUM(I36:I38)</f>
        <v>0</v>
      </c>
    </row>
    <row r="39" spans="1:18" x14ac:dyDescent="0.35">
      <c r="A39" s="160" t="s">
        <v>269</v>
      </c>
      <c r="B39" s="195" t="s">
        <v>168</v>
      </c>
      <c r="C39" s="365">
        <f>VLOOKUP(ship_type,recbesthomeport,6,FALSE)</f>
        <v>3</v>
      </c>
      <c r="D39" s="265" t="b">
        <v>0</v>
      </c>
      <c r="E39" s="81">
        <v>10</v>
      </c>
      <c r="F39" s="184">
        <f t="shared" si="3"/>
        <v>0</v>
      </c>
      <c r="G39" s="483"/>
      <c r="I39">
        <f>IF(D39,1,0)</f>
        <v>0</v>
      </c>
    </row>
    <row r="40" spans="1:18" x14ac:dyDescent="0.35">
      <c r="A40" s="267"/>
      <c r="B40" s="173"/>
      <c r="C40" s="365">
        <f>VLOOKUP(ship_type,recbetterhomeport,6,FALSE)</f>
        <v>2</v>
      </c>
      <c r="D40" s="265" t="b">
        <v>0</v>
      </c>
      <c r="E40" s="81">
        <f>0.85*E39</f>
        <v>8.5</v>
      </c>
      <c r="F40" s="184">
        <f t="shared" si="3"/>
        <v>0</v>
      </c>
      <c r="G40" s="483"/>
      <c r="H40" t="str">
        <f>IF(J41&gt;1,"Entry error, select one answer","")</f>
        <v/>
      </c>
      <c r="I40">
        <f t="shared" ref="I40:I41" si="8">IF(D40,1,0)</f>
        <v>0</v>
      </c>
    </row>
    <row r="41" spans="1:18" ht="19.5" customHeight="1" x14ac:dyDescent="0.35">
      <c r="A41" s="267"/>
      <c r="B41" s="246"/>
      <c r="C41" s="364">
        <f>VLOOKUP(ship_type,recgoodhomeport,6,FALSE)</f>
        <v>1</v>
      </c>
      <c r="D41" s="265" t="b">
        <v>0</v>
      </c>
      <c r="E41" s="81">
        <f>E39*0.75</f>
        <v>7.5</v>
      </c>
      <c r="F41" s="184">
        <f t="shared" si="3"/>
        <v>0</v>
      </c>
      <c r="G41" s="483"/>
      <c r="I41">
        <f t="shared" si="8"/>
        <v>0</v>
      </c>
      <c r="J41">
        <f>SUM(I39:I41)</f>
        <v>0</v>
      </c>
    </row>
    <row r="42" spans="1:18" ht="45.75" customHeight="1" x14ac:dyDescent="0.35">
      <c r="A42" s="160" t="s">
        <v>270</v>
      </c>
      <c r="B42" s="608" t="s">
        <v>174</v>
      </c>
      <c r="C42" s="609"/>
      <c r="D42" s="264" t="b">
        <v>0</v>
      </c>
      <c r="E42" s="81">
        <v>8</v>
      </c>
      <c r="F42" s="184">
        <f t="shared" ref="F42:F43" si="9">IF(D42,E42,0)</f>
        <v>0</v>
      </c>
      <c r="G42" s="483"/>
      <c r="H42" s="174"/>
      <c r="I42" s="174"/>
      <c r="J42" s="174"/>
      <c r="K42" s="174"/>
      <c r="L42" s="174"/>
      <c r="M42" s="174"/>
      <c r="N42" s="174"/>
      <c r="O42" s="174"/>
      <c r="P42" s="174"/>
      <c r="Q42" s="174"/>
      <c r="R42" s="174"/>
    </row>
    <row r="43" spans="1:18" ht="45.75" customHeight="1" thickBot="1" x14ac:dyDescent="0.4">
      <c r="A43" s="160" t="s">
        <v>271</v>
      </c>
      <c r="B43" s="608" t="s">
        <v>256</v>
      </c>
      <c r="C43" s="609"/>
      <c r="D43" s="264" t="b">
        <v>0</v>
      </c>
      <c r="E43" s="81">
        <v>8</v>
      </c>
      <c r="F43" s="184">
        <f t="shared" si="9"/>
        <v>0</v>
      </c>
      <c r="G43" s="329"/>
      <c r="H43" s="174"/>
      <c r="I43" s="174"/>
      <c r="J43" s="174"/>
      <c r="K43" s="174"/>
      <c r="L43" s="174"/>
      <c r="M43" s="174"/>
      <c r="N43" s="174"/>
      <c r="O43" s="174"/>
      <c r="P43" s="174"/>
      <c r="Q43" s="174"/>
      <c r="R43" s="174"/>
    </row>
    <row r="44" spans="1:18" ht="19.5" customHeight="1" thickTop="1" thickBot="1" x14ac:dyDescent="0.4">
      <c r="A44" s="390"/>
      <c r="B44" s="391"/>
      <c r="C44" s="391"/>
      <c r="D44" s="393"/>
      <c r="E44" s="81"/>
      <c r="G44" s="473"/>
      <c r="H44" s="174"/>
      <c r="I44" s="174"/>
      <c r="J44" s="174"/>
      <c r="K44" s="174"/>
      <c r="L44" s="174"/>
      <c r="M44" s="174"/>
      <c r="N44" s="174"/>
      <c r="O44" s="174"/>
      <c r="P44" s="174"/>
      <c r="Q44" s="174"/>
      <c r="R44" s="174"/>
    </row>
    <row r="45" spans="1:18" ht="28.5" customHeight="1" thickBot="1" x14ac:dyDescent="0.4">
      <c r="A45" s="160"/>
      <c r="B45" s="613" t="s">
        <v>275</v>
      </c>
      <c r="C45" s="613"/>
      <c r="D45" s="252">
        <f>F45/E45</f>
        <v>0</v>
      </c>
      <c r="E45" s="184">
        <f>IF(shiptypenum&lt;5,SUM(#REF!+#REF!+#REF!+#REF!+#REF!+E42+E39+E36+E33+E30+E27),IF(shiptypenum=8,SUM(E42+E39+E36+E33+E30+E27),SUM(E43+E42+E39+E36+E33+E30+E27)))</f>
        <v>66</v>
      </c>
      <c r="F45" s="184">
        <f>SUM(F27:F43)</f>
        <v>0</v>
      </c>
      <c r="G45" s="329"/>
      <c r="H45" s="174"/>
      <c r="I45" s="229"/>
      <c r="J45" s="229"/>
      <c r="K45" s="174"/>
      <c r="L45" s="174"/>
      <c r="M45" s="174"/>
      <c r="N45" s="174"/>
      <c r="O45" s="174"/>
      <c r="P45" s="174"/>
      <c r="Q45" s="174"/>
      <c r="R45" s="174"/>
    </row>
    <row r="46" spans="1:18" ht="18" customHeight="1" thickBot="1" x14ac:dyDescent="0.4">
      <c r="A46" s="160"/>
      <c r="B46" s="230"/>
      <c r="C46" s="230"/>
      <c r="D46" s="263"/>
      <c r="E46" s="262"/>
      <c r="G46" s="473"/>
      <c r="H46" s="174"/>
      <c r="I46" s="174"/>
      <c r="J46" s="174"/>
      <c r="K46" s="174"/>
      <c r="L46" s="174"/>
      <c r="M46" s="174"/>
      <c r="N46" s="174"/>
      <c r="O46" s="174"/>
      <c r="P46" s="174"/>
      <c r="Q46" s="174"/>
      <c r="R46" s="174"/>
    </row>
    <row r="47" spans="1:18" ht="87" customHeight="1" thickTop="1" thickBot="1" x14ac:dyDescent="0.4">
      <c r="A47" s="257" t="s">
        <v>173</v>
      </c>
      <c r="B47" s="610" t="s">
        <v>278</v>
      </c>
      <c r="C47" s="611"/>
      <c r="D47" s="462" t="s">
        <v>26</v>
      </c>
      <c r="E47" s="189" t="s">
        <v>24</v>
      </c>
      <c r="F47" s="189" t="s">
        <v>25</v>
      </c>
      <c r="G47" s="483"/>
    </row>
    <row r="48" spans="1:18" ht="78.75" customHeight="1" thickTop="1" thickBot="1" x14ac:dyDescent="0.4">
      <c r="A48" s="160"/>
      <c r="B48" s="595" t="s">
        <v>169</v>
      </c>
      <c r="C48" s="596"/>
      <c r="D48" s="461" t="s">
        <v>267</v>
      </c>
      <c r="E48" s="165"/>
      <c r="G48" s="466"/>
    </row>
    <row r="49" spans="1:18" x14ac:dyDescent="0.35">
      <c r="A49" s="160" t="s">
        <v>272</v>
      </c>
      <c r="B49" s="234" t="s">
        <v>414</v>
      </c>
      <c r="C49" s="363">
        <f>VLOOKUP(ship_type,recbestshipyard,2,FALSE)</f>
        <v>2</v>
      </c>
      <c r="D49" s="265" t="b">
        <v>0</v>
      </c>
      <c r="E49" s="81">
        <v>10</v>
      </c>
      <c r="F49" s="184">
        <f>IF(D49,IF(C49="-",0,E49),0)</f>
        <v>0</v>
      </c>
      <c r="G49" s="483"/>
      <c r="I49">
        <f>IF(D49,1,0)</f>
        <v>0</v>
      </c>
    </row>
    <row r="50" spans="1:18" x14ac:dyDescent="0.35">
      <c r="A50" s="160"/>
      <c r="B50" s="58"/>
      <c r="C50" s="363">
        <f>VLOOKUP(ship_type,recbettershipyard,2,FALSE)</f>
        <v>1</v>
      </c>
      <c r="D50" s="265" t="b">
        <v>0</v>
      </c>
      <c r="E50" s="81">
        <f>0.85*E49</f>
        <v>8.5</v>
      </c>
      <c r="F50" s="184">
        <f t="shared" ref="F50:F63" si="10">IF(D50,IF(C50="-",0,E50),0)</f>
        <v>0</v>
      </c>
      <c r="G50" s="483"/>
      <c r="H50" t="str">
        <f>IF(J51&gt;1,"Entry error, select one answer","")</f>
        <v/>
      </c>
      <c r="I50">
        <f t="shared" ref="I50:I51" si="11">IF(D50,1,0)</f>
        <v>0</v>
      </c>
    </row>
    <row r="51" spans="1:18" x14ac:dyDescent="0.35">
      <c r="A51" s="160"/>
      <c r="B51" s="256"/>
      <c r="C51" s="363" t="str">
        <f>VLOOKUP(ship_type,recgoodshipyard,2,FALSE)</f>
        <v>-</v>
      </c>
      <c r="D51" s="265" t="b">
        <v>0</v>
      </c>
      <c r="E51" s="81">
        <f>E49*0.75</f>
        <v>7.5</v>
      </c>
      <c r="F51" s="184">
        <f t="shared" si="10"/>
        <v>0</v>
      </c>
      <c r="G51" s="483"/>
      <c r="I51">
        <f t="shared" si="11"/>
        <v>0</v>
      </c>
      <c r="J51">
        <f>SUM(I49:I51)</f>
        <v>0</v>
      </c>
    </row>
    <row r="52" spans="1:18" x14ac:dyDescent="0.35">
      <c r="A52" s="160" t="s">
        <v>273</v>
      </c>
      <c r="B52" s="195" t="s">
        <v>165</v>
      </c>
      <c r="C52" s="366">
        <f>VLOOKUP(ship_type,recbestshipyard,3,FALSE)</f>
        <v>2</v>
      </c>
      <c r="D52" s="265" t="b">
        <v>0</v>
      </c>
      <c r="E52" s="81">
        <v>10</v>
      </c>
      <c r="F52" s="184">
        <f t="shared" si="10"/>
        <v>0</v>
      </c>
      <c r="G52" s="483"/>
      <c r="I52">
        <f>IF(D52,1,0)</f>
        <v>0</v>
      </c>
    </row>
    <row r="53" spans="1:18" x14ac:dyDescent="0.35">
      <c r="A53" s="169"/>
      <c r="B53" s="170"/>
      <c r="C53" s="365">
        <f>VLOOKUP(ship_type,recbettershipyard,3,FALSE)</f>
        <v>1</v>
      </c>
      <c r="D53" s="265" t="b">
        <v>0</v>
      </c>
      <c r="E53" s="81">
        <f>0.85*E52</f>
        <v>8.5</v>
      </c>
      <c r="F53" s="184">
        <f t="shared" si="10"/>
        <v>0</v>
      </c>
      <c r="G53" s="483"/>
      <c r="H53" t="str">
        <f>IF(J54&gt;1,"Entry error, select one answer","")</f>
        <v/>
      </c>
      <c r="I53">
        <f t="shared" ref="I53:I54" si="12">IF(D53,1,0)</f>
        <v>0</v>
      </c>
    </row>
    <row r="54" spans="1:18" x14ac:dyDescent="0.35">
      <c r="A54" s="169"/>
      <c r="B54" s="246"/>
      <c r="C54" s="363" t="str">
        <f>VLOOKUP(ship_type,recgoodshipyard,3,FALSE)</f>
        <v>-</v>
      </c>
      <c r="D54" s="265" t="b">
        <v>0</v>
      </c>
      <c r="E54" s="81">
        <f>E52*0.75</f>
        <v>7.5</v>
      </c>
      <c r="F54" s="184">
        <f t="shared" si="10"/>
        <v>0</v>
      </c>
      <c r="G54" s="483"/>
      <c r="I54">
        <f t="shared" si="12"/>
        <v>0</v>
      </c>
      <c r="J54">
        <f>SUM(I52:I54)</f>
        <v>0</v>
      </c>
    </row>
    <row r="55" spans="1:18" x14ac:dyDescent="0.35">
      <c r="A55" s="160" t="s">
        <v>279</v>
      </c>
      <c r="B55" s="195" t="s">
        <v>166</v>
      </c>
      <c r="C55" s="366">
        <f>VLOOKUP(ship_type,recbestshipyard,4,FALSE)</f>
        <v>1</v>
      </c>
      <c r="D55" s="265" t="b">
        <v>0</v>
      </c>
      <c r="E55" s="81">
        <v>10</v>
      </c>
      <c r="F55" s="184">
        <f t="shared" si="10"/>
        <v>0</v>
      </c>
      <c r="G55" s="483"/>
      <c r="I55">
        <f>IF(D55,1,0)</f>
        <v>0</v>
      </c>
    </row>
    <row r="56" spans="1:18" x14ac:dyDescent="0.35">
      <c r="A56" s="267"/>
      <c r="B56" s="170"/>
      <c r="C56" s="365" t="str">
        <f>VLOOKUP(ship_type,recbettershipyard,4,FALSE)</f>
        <v>-</v>
      </c>
      <c r="D56" s="265" t="b">
        <v>0</v>
      </c>
      <c r="E56" s="81">
        <f>0.85*E55</f>
        <v>8.5</v>
      </c>
      <c r="F56" s="184">
        <f t="shared" si="10"/>
        <v>0</v>
      </c>
      <c r="G56" s="483"/>
      <c r="H56" t="str">
        <f>IF(J57&gt;1,"Entry error, select one answer","")</f>
        <v/>
      </c>
      <c r="I56">
        <f t="shared" ref="I56:I57" si="13">IF(D56,1,0)</f>
        <v>0</v>
      </c>
    </row>
    <row r="57" spans="1:18" x14ac:dyDescent="0.35">
      <c r="A57" s="267"/>
      <c r="B57" s="246"/>
      <c r="C57" s="365" t="str">
        <f>VLOOKUP(ship_type,recgoodshipyard,4,FALSE)</f>
        <v>-</v>
      </c>
      <c r="D57" s="265" t="b">
        <v>0</v>
      </c>
      <c r="E57" s="81">
        <f>E55*0.75</f>
        <v>7.5</v>
      </c>
      <c r="F57" s="184">
        <f t="shared" si="10"/>
        <v>0</v>
      </c>
      <c r="G57" s="483"/>
      <c r="I57">
        <f t="shared" si="13"/>
        <v>0</v>
      </c>
      <c r="J57">
        <f>SUM(I55:I57)</f>
        <v>0</v>
      </c>
    </row>
    <row r="58" spans="1:18" x14ac:dyDescent="0.35">
      <c r="A58" s="160" t="s">
        <v>281</v>
      </c>
      <c r="B58" s="195" t="s">
        <v>167</v>
      </c>
      <c r="C58" s="366">
        <f>VLOOKUP(ship_type,recbestshipyard,5,FALSE)</f>
        <v>1</v>
      </c>
      <c r="D58" s="265" t="b">
        <v>0</v>
      </c>
      <c r="E58" s="81">
        <v>10</v>
      </c>
      <c r="F58" s="184">
        <f t="shared" si="10"/>
        <v>0</v>
      </c>
      <c r="G58" s="483"/>
      <c r="I58">
        <f>IF(D58,1,0)</f>
        <v>0</v>
      </c>
    </row>
    <row r="59" spans="1:18" x14ac:dyDescent="0.35">
      <c r="A59" s="267"/>
      <c r="B59" s="170"/>
      <c r="C59" s="365">
        <f>VLOOKUP(ship_type,recbettershipyard,5,FALSE)</f>
        <v>0</v>
      </c>
      <c r="D59" s="265" t="b">
        <v>0</v>
      </c>
      <c r="E59" s="81">
        <f>0.85*E58</f>
        <v>8.5</v>
      </c>
      <c r="F59" s="184">
        <f t="shared" si="10"/>
        <v>0</v>
      </c>
      <c r="G59" s="483"/>
      <c r="H59" t="str">
        <f>IF(J60&gt;1,"Entry error, select one answer","")</f>
        <v/>
      </c>
      <c r="I59">
        <f t="shared" ref="I59:I60" si="14">IF(D59,1,0)</f>
        <v>0</v>
      </c>
    </row>
    <row r="60" spans="1:18" x14ac:dyDescent="0.35">
      <c r="A60" s="267"/>
      <c r="B60" s="234"/>
      <c r="C60" s="364" t="str">
        <f>VLOOKUP(ship_type,recgoodshipyard,5,FALSE)</f>
        <v>-</v>
      </c>
      <c r="D60" s="265" t="b">
        <v>0</v>
      </c>
      <c r="E60" s="81">
        <f>E58*0.75</f>
        <v>7.5</v>
      </c>
      <c r="F60" s="184">
        <f t="shared" si="10"/>
        <v>0</v>
      </c>
      <c r="G60" s="483"/>
      <c r="I60">
        <f t="shared" si="14"/>
        <v>0</v>
      </c>
      <c r="J60">
        <f>SUM(I58:I60)</f>
        <v>0</v>
      </c>
    </row>
    <row r="61" spans="1:18" x14ac:dyDescent="0.35">
      <c r="A61" s="160" t="s">
        <v>282</v>
      </c>
      <c r="B61" s="270" t="s">
        <v>168</v>
      </c>
      <c r="C61" s="365">
        <f>VLOOKUP(ship_type,recbestshipyard,6,FALSE)</f>
        <v>6</v>
      </c>
      <c r="D61" s="265" t="b">
        <v>0</v>
      </c>
      <c r="E61" s="81">
        <v>10</v>
      </c>
      <c r="F61" s="184">
        <f t="shared" si="10"/>
        <v>0</v>
      </c>
      <c r="G61" s="483"/>
      <c r="I61">
        <f>IF(D61,1,0)</f>
        <v>0</v>
      </c>
    </row>
    <row r="62" spans="1:18" x14ac:dyDescent="0.35">
      <c r="A62" s="267"/>
      <c r="B62" s="173"/>
      <c r="C62" s="365">
        <f>VLOOKUP(ship_type,recbettershipyard,6,FALSE)</f>
        <v>4</v>
      </c>
      <c r="D62" s="265" t="b">
        <v>0</v>
      </c>
      <c r="E62" s="81">
        <f>0.85*E61</f>
        <v>8.5</v>
      </c>
      <c r="F62" s="184">
        <f t="shared" si="10"/>
        <v>0</v>
      </c>
      <c r="G62" s="483"/>
      <c r="H62" t="str">
        <f>IF(J63&gt;1,"Entry error, select one answer","")</f>
        <v/>
      </c>
      <c r="I62">
        <f t="shared" ref="I62:I63" si="15">IF(D62,1,0)</f>
        <v>0</v>
      </c>
    </row>
    <row r="63" spans="1:18" x14ac:dyDescent="0.35">
      <c r="A63" s="267"/>
      <c r="B63" s="246"/>
      <c r="C63" s="364">
        <f>VLOOKUP(ship_type,recgoodshipyard,6,FALSE)</f>
        <v>2</v>
      </c>
      <c r="D63" s="265" t="b">
        <v>0</v>
      </c>
      <c r="E63" s="81">
        <f>E61*0.75</f>
        <v>7.5</v>
      </c>
      <c r="F63" s="184">
        <f t="shared" si="10"/>
        <v>0</v>
      </c>
      <c r="G63" s="483"/>
      <c r="I63">
        <f t="shared" si="15"/>
        <v>0</v>
      </c>
      <c r="J63">
        <f>SUM(I61:I63)</f>
        <v>0</v>
      </c>
    </row>
    <row r="64" spans="1:18" ht="45.75" customHeight="1" x14ac:dyDescent="0.35">
      <c r="A64" s="160" t="s">
        <v>283</v>
      </c>
      <c r="B64" s="616" t="s">
        <v>262</v>
      </c>
      <c r="C64" s="617"/>
      <c r="D64" s="264" t="b">
        <v>0</v>
      </c>
      <c r="E64" s="81">
        <v>8</v>
      </c>
      <c r="F64" s="184">
        <f t="shared" ref="F64:F65" si="16">IF(D64,E64,0)</f>
        <v>0</v>
      </c>
      <c r="G64" s="483"/>
      <c r="H64" s="174"/>
      <c r="I64" s="174"/>
      <c r="J64" s="174"/>
      <c r="K64" s="174"/>
      <c r="L64" s="174"/>
      <c r="M64" s="174"/>
      <c r="N64" s="174"/>
      <c r="O64" s="174"/>
      <c r="P64" s="174"/>
      <c r="Q64" s="174"/>
      <c r="R64" s="174"/>
    </row>
    <row r="65" spans="1:18" ht="45.75" customHeight="1" thickBot="1" x14ac:dyDescent="0.4">
      <c r="A65" s="160" t="s">
        <v>284</v>
      </c>
      <c r="B65" s="614" t="s">
        <v>256</v>
      </c>
      <c r="C65" s="615"/>
      <c r="D65" s="264" t="b">
        <v>0</v>
      </c>
      <c r="E65" s="81">
        <v>8</v>
      </c>
      <c r="F65" s="184">
        <f t="shared" si="16"/>
        <v>0</v>
      </c>
      <c r="G65" s="483"/>
      <c r="H65" s="174"/>
      <c r="I65" s="174"/>
      <c r="J65" s="174"/>
      <c r="K65" s="174"/>
      <c r="L65" s="174"/>
      <c r="M65" s="174"/>
      <c r="N65" s="174"/>
      <c r="O65" s="174"/>
      <c r="P65" s="174"/>
      <c r="Q65" s="174"/>
      <c r="R65" s="174"/>
    </row>
    <row r="66" spans="1:18" ht="22.5" customHeight="1" thickTop="1" thickBot="1" x14ac:dyDescent="0.4">
      <c r="A66" s="269"/>
      <c r="B66" s="391"/>
      <c r="C66" s="391"/>
      <c r="D66" s="394"/>
      <c r="E66" s="25"/>
      <c r="G66" s="182"/>
      <c r="H66" s="174"/>
      <c r="I66" s="174"/>
      <c r="J66" s="174"/>
      <c r="K66" s="174"/>
      <c r="L66" s="174"/>
      <c r="M66" s="174"/>
      <c r="N66" s="174"/>
      <c r="O66" s="174"/>
      <c r="P66" s="174"/>
      <c r="Q66" s="174"/>
      <c r="R66" s="174"/>
    </row>
    <row r="67" spans="1:18" ht="28.5" customHeight="1" thickBot="1" x14ac:dyDescent="0.4">
      <c r="A67" s="235"/>
      <c r="B67" s="613" t="s">
        <v>275</v>
      </c>
      <c r="C67" s="613"/>
      <c r="D67" s="252">
        <f>F67/E67</f>
        <v>0</v>
      </c>
      <c r="E67" s="81">
        <f>IF(shiptypenum&lt;5,SUM(#REF!+#REF!+#REF!+#REF!+E65+E64+E61+E58+E55+E52+E49),IF(shiptypenum=8,SUM(E65+E64+E61+E58+E55+E52+E49),SUM(E65+E64+E61+E58+E55+E52+E49)))</f>
        <v>66</v>
      </c>
      <c r="F67" s="184">
        <f>SUM(F49:F65)</f>
        <v>0</v>
      </c>
      <c r="H67" s="174"/>
      <c r="I67" s="229"/>
      <c r="J67" s="229"/>
      <c r="K67" s="174"/>
      <c r="L67" s="174"/>
      <c r="M67" s="174"/>
      <c r="N67" s="174"/>
      <c r="O67" s="174"/>
      <c r="P67" s="174"/>
      <c r="Q67" s="174"/>
      <c r="R67" s="174"/>
    </row>
    <row r="68" spans="1:18" ht="15.75" customHeight="1" thickBot="1" x14ac:dyDescent="0.4">
      <c r="A68" s="235"/>
      <c r="B68" s="502"/>
      <c r="C68" s="502"/>
      <c r="D68" s="511"/>
      <c r="E68" s="81"/>
      <c r="H68" s="174"/>
      <c r="I68" s="501"/>
      <c r="J68" s="501"/>
      <c r="K68" s="174"/>
      <c r="L68" s="174"/>
      <c r="M68" s="174"/>
      <c r="N68" s="174"/>
      <c r="O68" s="174"/>
      <c r="P68" s="174"/>
      <c r="Q68" s="174"/>
      <c r="R68" s="174"/>
    </row>
    <row r="69" spans="1:18" ht="90.75" customHeight="1" thickBot="1" x14ac:dyDescent="0.4">
      <c r="A69" s="235"/>
      <c r="B69" s="618" t="s">
        <v>48</v>
      </c>
      <c r="C69" s="619"/>
      <c r="D69" s="510"/>
      <c r="E69" s="262"/>
      <c r="G69" s="182"/>
      <c r="H69" s="174"/>
      <c r="I69" s="174"/>
      <c r="J69" s="174"/>
      <c r="K69" s="174"/>
      <c r="L69" s="174"/>
      <c r="M69" s="174"/>
      <c r="N69" s="174"/>
      <c r="O69" s="174"/>
      <c r="P69" s="174"/>
      <c r="Q69" s="174"/>
      <c r="R69" s="174"/>
    </row>
    <row r="70" spans="1:18" x14ac:dyDescent="0.35">
      <c r="B70" s="1"/>
    </row>
    <row r="71" spans="1:18" x14ac:dyDescent="0.35">
      <c r="B71" s="612" t="s">
        <v>280</v>
      </c>
      <c r="C71" s="612"/>
      <c r="D71" s="496">
        <f>D67+D45+D23</f>
        <v>0</v>
      </c>
    </row>
  </sheetData>
  <mergeCells count="20">
    <mergeCell ref="B71:C71"/>
    <mergeCell ref="A4:C4"/>
    <mergeCell ref="A5:C5"/>
    <mergeCell ref="B25:C25"/>
    <mergeCell ref="B47:C47"/>
    <mergeCell ref="B45:C45"/>
    <mergeCell ref="B65:C65"/>
    <mergeCell ref="B48:C48"/>
    <mergeCell ref="B64:C64"/>
    <mergeCell ref="B43:C43"/>
    <mergeCell ref="B69:C69"/>
    <mergeCell ref="B23:C23"/>
    <mergeCell ref="B26:C26"/>
    <mergeCell ref="B42:C42"/>
    <mergeCell ref="B67:C67"/>
    <mergeCell ref="A3:B3"/>
    <mergeCell ref="B20:C20"/>
    <mergeCell ref="B21:C21"/>
    <mergeCell ref="B6:C6"/>
    <mergeCell ref="B7:C7"/>
  </mergeCells>
  <phoneticPr fontId="16" type="noConversion"/>
  <conditionalFormatting sqref="H9">
    <cfRule type="expression" dxfId="35" priority="14">
      <formula>J10&gt;1</formula>
    </cfRule>
  </conditionalFormatting>
  <conditionalFormatting sqref="H12">
    <cfRule type="expression" dxfId="34" priority="13">
      <formula>J13&gt;1</formula>
    </cfRule>
  </conditionalFormatting>
  <conditionalFormatting sqref="H15">
    <cfRule type="expression" dxfId="33" priority="12">
      <formula>J16&gt;1</formula>
    </cfRule>
  </conditionalFormatting>
  <conditionalFormatting sqref="H18">
    <cfRule type="expression" dxfId="32" priority="11">
      <formula>J19&gt;1</formula>
    </cfRule>
  </conditionalFormatting>
  <conditionalFormatting sqref="H28">
    <cfRule type="expression" dxfId="31" priority="10">
      <formula>J29&gt;1</formula>
    </cfRule>
  </conditionalFormatting>
  <conditionalFormatting sqref="H31">
    <cfRule type="expression" dxfId="30" priority="9">
      <formula>J32&gt;1</formula>
    </cfRule>
  </conditionalFormatting>
  <conditionalFormatting sqref="H34">
    <cfRule type="expression" dxfId="29" priority="8">
      <formula>J35&gt;1</formula>
    </cfRule>
  </conditionalFormatting>
  <conditionalFormatting sqref="H37">
    <cfRule type="expression" dxfId="28" priority="7">
      <formula>J38&gt;1</formula>
    </cfRule>
  </conditionalFormatting>
  <conditionalFormatting sqref="H40">
    <cfRule type="expression" dxfId="27" priority="6">
      <formula>J41&gt;1</formula>
    </cfRule>
  </conditionalFormatting>
  <conditionalFormatting sqref="H50">
    <cfRule type="expression" dxfId="26" priority="5">
      <formula>J51&gt;1</formula>
    </cfRule>
  </conditionalFormatting>
  <conditionalFormatting sqref="H53">
    <cfRule type="expression" dxfId="25" priority="4">
      <formula>J54&gt;1</formula>
    </cfRule>
  </conditionalFormatting>
  <conditionalFormatting sqref="H56">
    <cfRule type="expression" dxfId="24" priority="3">
      <formula>J57&gt;1</formula>
    </cfRule>
  </conditionalFormatting>
  <conditionalFormatting sqref="H59">
    <cfRule type="expression" dxfId="23" priority="2">
      <formula>J60&gt;1</formula>
    </cfRule>
  </conditionalFormatting>
  <conditionalFormatting sqref="H62">
    <cfRule type="expression" dxfId="22" priority="1">
      <formula>J63&gt;1</formula>
    </cfRule>
  </conditionalFormatting>
  <pageMargins left="0.7" right="0.7" top="0.75" bottom="0.75" header="0.3" footer="0.3"/>
  <pageSetup scale="47" fitToHeight="10" orientation="portrait" r:id="rId1"/>
  <headerFooter>
    <oddHeader>&amp;LMetric 3.1 
Recreation Programming</oddHeader>
    <oddFooter>&amp;C&amp;A&amp;RPage &amp;P</oddFooter>
  </headerFooter>
  <ignoredErrors>
    <ignoredError sqref="D7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35866" r:id="rId4" name="Check Box 26">
              <controlPr defaultSize="0" autoFill="0" autoLine="0" autoPict="0">
                <anchor moveWithCells="1">
                  <from>
                    <xdr:col>3</xdr:col>
                    <xdr:colOff>419100</xdr:colOff>
                    <xdr:row>7</xdr:row>
                    <xdr:rowOff>0</xdr:rowOff>
                  </from>
                  <to>
                    <xdr:col>3</xdr:col>
                    <xdr:colOff>609600</xdr:colOff>
                    <xdr:row>8</xdr:row>
                    <xdr:rowOff>12700</xdr:rowOff>
                  </to>
                </anchor>
              </controlPr>
            </control>
          </mc:Choice>
        </mc:AlternateContent>
        <mc:AlternateContent xmlns:mc="http://schemas.openxmlformats.org/markup-compatibility/2006">
          <mc:Choice Requires="x14">
            <control shapeId="35867" r:id="rId5" name="Check Box 27">
              <controlPr defaultSize="0" autoFill="0" autoLine="0" autoPict="0">
                <anchor moveWithCells="1">
                  <from>
                    <xdr:col>3</xdr:col>
                    <xdr:colOff>419100</xdr:colOff>
                    <xdr:row>8</xdr:row>
                    <xdr:rowOff>0</xdr:rowOff>
                  </from>
                  <to>
                    <xdr:col>3</xdr:col>
                    <xdr:colOff>609600</xdr:colOff>
                    <xdr:row>9</xdr:row>
                    <xdr:rowOff>12700</xdr:rowOff>
                  </to>
                </anchor>
              </controlPr>
            </control>
          </mc:Choice>
        </mc:AlternateContent>
        <mc:AlternateContent xmlns:mc="http://schemas.openxmlformats.org/markup-compatibility/2006">
          <mc:Choice Requires="x14">
            <control shapeId="35873" r:id="rId6" name="Check Box 33">
              <controlPr defaultSize="0" autoFill="0" autoLine="0" autoPict="0">
                <anchor moveWithCells="1">
                  <from>
                    <xdr:col>3</xdr:col>
                    <xdr:colOff>419100</xdr:colOff>
                    <xdr:row>11</xdr:row>
                    <xdr:rowOff>0</xdr:rowOff>
                  </from>
                  <to>
                    <xdr:col>3</xdr:col>
                    <xdr:colOff>609600</xdr:colOff>
                    <xdr:row>12</xdr:row>
                    <xdr:rowOff>12700</xdr:rowOff>
                  </to>
                </anchor>
              </controlPr>
            </control>
          </mc:Choice>
        </mc:AlternateContent>
        <mc:AlternateContent xmlns:mc="http://schemas.openxmlformats.org/markup-compatibility/2006">
          <mc:Choice Requires="x14">
            <control shapeId="35874" r:id="rId7" name="Check Box 34">
              <controlPr defaultSize="0" autoFill="0" autoLine="0" autoPict="0">
                <anchor moveWithCells="1">
                  <from>
                    <xdr:col>3</xdr:col>
                    <xdr:colOff>419100</xdr:colOff>
                    <xdr:row>12</xdr:row>
                    <xdr:rowOff>0</xdr:rowOff>
                  </from>
                  <to>
                    <xdr:col>3</xdr:col>
                    <xdr:colOff>609600</xdr:colOff>
                    <xdr:row>13</xdr:row>
                    <xdr:rowOff>12700</xdr:rowOff>
                  </to>
                </anchor>
              </controlPr>
            </control>
          </mc:Choice>
        </mc:AlternateContent>
        <mc:AlternateContent xmlns:mc="http://schemas.openxmlformats.org/markup-compatibility/2006">
          <mc:Choice Requires="x14">
            <control shapeId="35875" r:id="rId8" name="Check Box 35">
              <controlPr defaultSize="0" autoFill="0" autoLine="0" autoPict="0">
                <anchor moveWithCells="1">
                  <from>
                    <xdr:col>3</xdr:col>
                    <xdr:colOff>419100</xdr:colOff>
                    <xdr:row>13</xdr:row>
                    <xdr:rowOff>0</xdr:rowOff>
                  </from>
                  <to>
                    <xdr:col>3</xdr:col>
                    <xdr:colOff>609600</xdr:colOff>
                    <xdr:row>14</xdr:row>
                    <xdr:rowOff>12700</xdr:rowOff>
                  </to>
                </anchor>
              </controlPr>
            </control>
          </mc:Choice>
        </mc:AlternateContent>
        <mc:AlternateContent xmlns:mc="http://schemas.openxmlformats.org/markup-compatibility/2006">
          <mc:Choice Requires="x14">
            <control shapeId="35876" r:id="rId9" name="Check Box 36">
              <controlPr defaultSize="0" autoFill="0" autoLine="0" autoPict="0">
                <anchor moveWithCells="1">
                  <from>
                    <xdr:col>3</xdr:col>
                    <xdr:colOff>419100</xdr:colOff>
                    <xdr:row>14</xdr:row>
                    <xdr:rowOff>0</xdr:rowOff>
                  </from>
                  <to>
                    <xdr:col>3</xdr:col>
                    <xdr:colOff>609600</xdr:colOff>
                    <xdr:row>15</xdr:row>
                    <xdr:rowOff>12700</xdr:rowOff>
                  </to>
                </anchor>
              </controlPr>
            </control>
          </mc:Choice>
        </mc:AlternateContent>
        <mc:AlternateContent xmlns:mc="http://schemas.openxmlformats.org/markup-compatibility/2006">
          <mc:Choice Requires="x14">
            <control shapeId="35877" r:id="rId10" name="Check Box 37">
              <controlPr defaultSize="0" autoFill="0" autoLine="0" autoPict="0">
                <anchor moveWithCells="1">
                  <from>
                    <xdr:col>3</xdr:col>
                    <xdr:colOff>419100</xdr:colOff>
                    <xdr:row>15</xdr:row>
                    <xdr:rowOff>0</xdr:rowOff>
                  </from>
                  <to>
                    <xdr:col>3</xdr:col>
                    <xdr:colOff>609600</xdr:colOff>
                    <xdr:row>16</xdr:row>
                    <xdr:rowOff>12700</xdr:rowOff>
                  </to>
                </anchor>
              </controlPr>
            </control>
          </mc:Choice>
        </mc:AlternateContent>
        <mc:AlternateContent xmlns:mc="http://schemas.openxmlformats.org/markup-compatibility/2006">
          <mc:Choice Requires="x14">
            <control shapeId="35878" r:id="rId11" name="Check Box 38">
              <controlPr defaultSize="0" autoFill="0" autoLine="0" autoPict="0">
                <anchor moveWithCells="1">
                  <from>
                    <xdr:col>3</xdr:col>
                    <xdr:colOff>419100</xdr:colOff>
                    <xdr:row>16</xdr:row>
                    <xdr:rowOff>0</xdr:rowOff>
                  </from>
                  <to>
                    <xdr:col>3</xdr:col>
                    <xdr:colOff>609600</xdr:colOff>
                    <xdr:row>17</xdr:row>
                    <xdr:rowOff>12700</xdr:rowOff>
                  </to>
                </anchor>
              </controlPr>
            </control>
          </mc:Choice>
        </mc:AlternateContent>
        <mc:AlternateContent xmlns:mc="http://schemas.openxmlformats.org/markup-compatibility/2006">
          <mc:Choice Requires="x14">
            <control shapeId="35879" r:id="rId12" name="Check Box 39">
              <controlPr defaultSize="0" autoFill="0" autoLine="0" autoPict="0">
                <anchor moveWithCells="1">
                  <from>
                    <xdr:col>3</xdr:col>
                    <xdr:colOff>419100</xdr:colOff>
                    <xdr:row>17</xdr:row>
                    <xdr:rowOff>0</xdr:rowOff>
                  </from>
                  <to>
                    <xdr:col>3</xdr:col>
                    <xdr:colOff>609600</xdr:colOff>
                    <xdr:row>18</xdr:row>
                    <xdr:rowOff>12700</xdr:rowOff>
                  </to>
                </anchor>
              </controlPr>
            </control>
          </mc:Choice>
        </mc:AlternateContent>
        <mc:AlternateContent xmlns:mc="http://schemas.openxmlformats.org/markup-compatibility/2006">
          <mc:Choice Requires="x14">
            <control shapeId="35880" r:id="rId13" name="Check Box 40">
              <controlPr defaultSize="0" autoFill="0" autoLine="0" autoPict="0">
                <anchor moveWithCells="1">
                  <from>
                    <xdr:col>3</xdr:col>
                    <xdr:colOff>419100</xdr:colOff>
                    <xdr:row>18</xdr:row>
                    <xdr:rowOff>0</xdr:rowOff>
                  </from>
                  <to>
                    <xdr:col>3</xdr:col>
                    <xdr:colOff>609600</xdr:colOff>
                    <xdr:row>19</xdr:row>
                    <xdr:rowOff>12700</xdr:rowOff>
                  </to>
                </anchor>
              </controlPr>
            </control>
          </mc:Choice>
        </mc:AlternateContent>
        <mc:AlternateContent xmlns:mc="http://schemas.openxmlformats.org/markup-compatibility/2006">
          <mc:Choice Requires="x14">
            <control shapeId="35881" r:id="rId14" name="Check Box 41">
              <controlPr defaultSize="0" autoFill="0" autoLine="0" autoPict="0">
                <anchor moveWithCells="1">
                  <from>
                    <xdr:col>3</xdr:col>
                    <xdr:colOff>419100</xdr:colOff>
                    <xdr:row>19</xdr:row>
                    <xdr:rowOff>0</xdr:rowOff>
                  </from>
                  <to>
                    <xdr:col>3</xdr:col>
                    <xdr:colOff>609600</xdr:colOff>
                    <xdr:row>19</xdr:row>
                    <xdr:rowOff>209550</xdr:rowOff>
                  </to>
                </anchor>
              </controlPr>
            </control>
          </mc:Choice>
        </mc:AlternateContent>
        <mc:AlternateContent xmlns:mc="http://schemas.openxmlformats.org/markup-compatibility/2006">
          <mc:Choice Requires="x14">
            <control shapeId="35887" r:id="rId15" name="Check Box 47">
              <controlPr defaultSize="0" autoFill="0" autoLine="0" autoPict="0">
                <anchor moveWithCells="1">
                  <from>
                    <xdr:col>3</xdr:col>
                    <xdr:colOff>419100</xdr:colOff>
                    <xdr:row>26</xdr:row>
                    <xdr:rowOff>0</xdr:rowOff>
                  </from>
                  <to>
                    <xdr:col>3</xdr:col>
                    <xdr:colOff>609600</xdr:colOff>
                    <xdr:row>27</xdr:row>
                    <xdr:rowOff>12700</xdr:rowOff>
                  </to>
                </anchor>
              </controlPr>
            </control>
          </mc:Choice>
        </mc:AlternateContent>
        <mc:AlternateContent xmlns:mc="http://schemas.openxmlformats.org/markup-compatibility/2006">
          <mc:Choice Requires="x14">
            <control shapeId="35888" r:id="rId16" name="Check Box 48">
              <controlPr defaultSize="0" autoFill="0" autoLine="0" autoPict="0">
                <anchor moveWithCells="1">
                  <from>
                    <xdr:col>3</xdr:col>
                    <xdr:colOff>419100</xdr:colOff>
                    <xdr:row>27</xdr:row>
                    <xdr:rowOff>0</xdr:rowOff>
                  </from>
                  <to>
                    <xdr:col>3</xdr:col>
                    <xdr:colOff>609600</xdr:colOff>
                    <xdr:row>28</xdr:row>
                    <xdr:rowOff>12700</xdr:rowOff>
                  </to>
                </anchor>
              </controlPr>
            </control>
          </mc:Choice>
        </mc:AlternateContent>
        <mc:AlternateContent xmlns:mc="http://schemas.openxmlformats.org/markup-compatibility/2006">
          <mc:Choice Requires="x14">
            <control shapeId="35894" r:id="rId17" name="Check Box 54">
              <controlPr defaultSize="0" autoFill="0" autoLine="0" autoPict="0">
                <anchor moveWithCells="1">
                  <from>
                    <xdr:col>3</xdr:col>
                    <xdr:colOff>419100</xdr:colOff>
                    <xdr:row>30</xdr:row>
                    <xdr:rowOff>0</xdr:rowOff>
                  </from>
                  <to>
                    <xdr:col>3</xdr:col>
                    <xdr:colOff>609600</xdr:colOff>
                    <xdr:row>31</xdr:row>
                    <xdr:rowOff>12700</xdr:rowOff>
                  </to>
                </anchor>
              </controlPr>
            </control>
          </mc:Choice>
        </mc:AlternateContent>
        <mc:AlternateContent xmlns:mc="http://schemas.openxmlformats.org/markup-compatibility/2006">
          <mc:Choice Requires="x14">
            <control shapeId="35895" r:id="rId18" name="Check Box 55">
              <controlPr defaultSize="0" autoFill="0" autoLine="0" autoPict="0">
                <anchor moveWithCells="1">
                  <from>
                    <xdr:col>3</xdr:col>
                    <xdr:colOff>419100</xdr:colOff>
                    <xdr:row>31</xdr:row>
                    <xdr:rowOff>0</xdr:rowOff>
                  </from>
                  <to>
                    <xdr:col>3</xdr:col>
                    <xdr:colOff>609600</xdr:colOff>
                    <xdr:row>32</xdr:row>
                    <xdr:rowOff>12700</xdr:rowOff>
                  </to>
                </anchor>
              </controlPr>
            </control>
          </mc:Choice>
        </mc:AlternateContent>
        <mc:AlternateContent xmlns:mc="http://schemas.openxmlformats.org/markup-compatibility/2006">
          <mc:Choice Requires="x14">
            <control shapeId="35896" r:id="rId19" name="Check Box 56">
              <controlPr defaultSize="0" autoFill="0" autoLine="0" autoPict="0">
                <anchor moveWithCells="1">
                  <from>
                    <xdr:col>3</xdr:col>
                    <xdr:colOff>419100</xdr:colOff>
                    <xdr:row>32</xdr:row>
                    <xdr:rowOff>6350</xdr:rowOff>
                  </from>
                  <to>
                    <xdr:col>3</xdr:col>
                    <xdr:colOff>609600</xdr:colOff>
                    <xdr:row>33</xdr:row>
                    <xdr:rowOff>12700</xdr:rowOff>
                  </to>
                </anchor>
              </controlPr>
            </control>
          </mc:Choice>
        </mc:AlternateContent>
        <mc:AlternateContent xmlns:mc="http://schemas.openxmlformats.org/markup-compatibility/2006">
          <mc:Choice Requires="x14">
            <control shapeId="35897" r:id="rId20" name="Check Box 57">
              <controlPr defaultSize="0" autoFill="0" autoLine="0" autoPict="0">
                <anchor moveWithCells="1">
                  <from>
                    <xdr:col>3</xdr:col>
                    <xdr:colOff>419100</xdr:colOff>
                    <xdr:row>33</xdr:row>
                    <xdr:rowOff>6350</xdr:rowOff>
                  </from>
                  <to>
                    <xdr:col>3</xdr:col>
                    <xdr:colOff>609600</xdr:colOff>
                    <xdr:row>34</xdr:row>
                    <xdr:rowOff>12700</xdr:rowOff>
                  </to>
                </anchor>
              </controlPr>
            </control>
          </mc:Choice>
        </mc:AlternateContent>
        <mc:AlternateContent xmlns:mc="http://schemas.openxmlformats.org/markup-compatibility/2006">
          <mc:Choice Requires="x14">
            <control shapeId="35898" r:id="rId21" name="Check Box 58">
              <controlPr defaultSize="0" autoFill="0" autoLine="0" autoPict="0">
                <anchor moveWithCells="1">
                  <from>
                    <xdr:col>3</xdr:col>
                    <xdr:colOff>419100</xdr:colOff>
                    <xdr:row>34</xdr:row>
                    <xdr:rowOff>6350</xdr:rowOff>
                  </from>
                  <to>
                    <xdr:col>3</xdr:col>
                    <xdr:colOff>609600</xdr:colOff>
                    <xdr:row>35</xdr:row>
                    <xdr:rowOff>12700</xdr:rowOff>
                  </to>
                </anchor>
              </controlPr>
            </control>
          </mc:Choice>
        </mc:AlternateContent>
        <mc:AlternateContent xmlns:mc="http://schemas.openxmlformats.org/markup-compatibility/2006">
          <mc:Choice Requires="x14">
            <control shapeId="35899" r:id="rId22" name="Check Box 59">
              <controlPr defaultSize="0" autoFill="0" autoLine="0" autoPict="0">
                <anchor moveWithCells="1">
                  <from>
                    <xdr:col>3</xdr:col>
                    <xdr:colOff>419100</xdr:colOff>
                    <xdr:row>35</xdr:row>
                    <xdr:rowOff>6350</xdr:rowOff>
                  </from>
                  <to>
                    <xdr:col>3</xdr:col>
                    <xdr:colOff>609600</xdr:colOff>
                    <xdr:row>36</xdr:row>
                    <xdr:rowOff>12700</xdr:rowOff>
                  </to>
                </anchor>
              </controlPr>
            </control>
          </mc:Choice>
        </mc:AlternateContent>
        <mc:AlternateContent xmlns:mc="http://schemas.openxmlformats.org/markup-compatibility/2006">
          <mc:Choice Requires="x14">
            <control shapeId="35900" r:id="rId23" name="Check Box 60">
              <controlPr defaultSize="0" autoFill="0" autoLine="0" autoPict="0">
                <anchor moveWithCells="1">
                  <from>
                    <xdr:col>3</xdr:col>
                    <xdr:colOff>419100</xdr:colOff>
                    <xdr:row>36</xdr:row>
                    <xdr:rowOff>6350</xdr:rowOff>
                  </from>
                  <to>
                    <xdr:col>3</xdr:col>
                    <xdr:colOff>609600</xdr:colOff>
                    <xdr:row>37</xdr:row>
                    <xdr:rowOff>12700</xdr:rowOff>
                  </to>
                </anchor>
              </controlPr>
            </control>
          </mc:Choice>
        </mc:AlternateContent>
        <mc:AlternateContent xmlns:mc="http://schemas.openxmlformats.org/markup-compatibility/2006">
          <mc:Choice Requires="x14">
            <control shapeId="35901" r:id="rId24" name="Check Box 61">
              <controlPr defaultSize="0" autoFill="0" autoLine="0" autoPict="0">
                <anchor moveWithCells="1">
                  <from>
                    <xdr:col>3</xdr:col>
                    <xdr:colOff>419100</xdr:colOff>
                    <xdr:row>37</xdr:row>
                    <xdr:rowOff>6350</xdr:rowOff>
                  </from>
                  <to>
                    <xdr:col>3</xdr:col>
                    <xdr:colOff>609600</xdr:colOff>
                    <xdr:row>38</xdr:row>
                    <xdr:rowOff>12700</xdr:rowOff>
                  </to>
                </anchor>
              </controlPr>
            </control>
          </mc:Choice>
        </mc:AlternateContent>
        <mc:AlternateContent xmlns:mc="http://schemas.openxmlformats.org/markup-compatibility/2006">
          <mc:Choice Requires="x14">
            <control shapeId="35902" r:id="rId25" name="Check Box 62">
              <controlPr defaultSize="0" autoFill="0" autoLine="0" autoPict="0">
                <anchor moveWithCells="1">
                  <from>
                    <xdr:col>3</xdr:col>
                    <xdr:colOff>419100</xdr:colOff>
                    <xdr:row>38</xdr:row>
                    <xdr:rowOff>6350</xdr:rowOff>
                  </from>
                  <to>
                    <xdr:col>3</xdr:col>
                    <xdr:colOff>609600</xdr:colOff>
                    <xdr:row>39</xdr:row>
                    <xdr:rowOff>19050</xdr:rowOff>
                  </to>
                </anchor>
              </controlPr>
            </control>
          </mc:Choice>
        </mc:AlternateContent>
        <mc:AlternateContent xmlns:mc="http://schemas.openxmlformats.org/markup-compatibility/2006">
          <mc:Choice Requires="x14">
            <control shapeId="35903" r:id="rId26" name="Check Box 63">
              <controlPr defaultSize="0" autoFill="0" autoLine="0" autoPict="0">
                <anchor moveWithCells="1">
                  <from>
                    <xdr:col>3</xdr:col>
                    <xdr:colOff>419100</xdr:colOff>
                    <xdr:row>39</xdr:row>
                    <xdr:rowOff>6350</xdr:rowOff>
                  </from>
                  <to>
                    <xdr:col>3</xdr:col>
                    <xdr:colOff>609600</xdr:colOff>
                    <xdr:row>40</xdr:row>
                    <xdr:rowOff>19050</xdr:rowOff>
                  </to>
                </anchor>
              </controlPr>
            </control>
          </mc:Choice>
        </mc:AlternateContent>
        <mc:AlternateContent xmlns:mc="http://schemas.openxmlformats.org/markup-compatibility/2006">
          <mc:Choice Requires="x14">
            <control shapeId="35904" r:id="rId27" name="Check Box 64">
              <controlPr defaultSize="0" autoFill="0" autoLine="0" autoPict="0">
                <anchor moveWithCells="1">
                  <from>
                    <xdr:col>3</xdr:col>
                    <xdr:colOff>419100</xdr:colOff>
                    <xdr:row>40</xdr:row>
                    <xdr:rowOff>6350</xdr:rowOff>
                  </from>
                  <to>
                    <xdr:col>3</xdr:col>
                    <xdr:colOff>609600</xdr:colOff>
                    <xdr:row>40</xdr:row>
                    <xdr:rowOff>215900</xdr:rowOff>
                  </to>
                </anchor>
              </controlPr>
            </control>
          </mc:Choice>
        </mc:AlternateContent>
        <mc:AlternateContent xmlns:mc="http://schemas.openxmlformats.org/markup-compatibility/2006">
          <mc:Choice Requires="x14">
            <control shapeId="35905" r:id="rId28" name="Check Box 65">
              <controlPr defaultSize="0" autoFill="0" autoLine="0" autoPict="0">
                <anchor moveWithCells="1">
                  <from>
                    <xdr:col>3</xdr:col>
                    <xdr:colOff>457200</xdr:colOff>
                    <xdr:row>41</xdr:row>
                    <xdr:rowOff>127000</xdr:rowOff>
                  </from>
                  <to>
                    <xdr:col>3</xdr:col>
                    <xdr:colOff>717550</xdr:colOff>
                    <xdr:row>41</xdr:row>
                    <xdr:rowOff>323850</xdr:rowOff>
                  </to>
                </anchor>
              </controlPr>
            </control>
          </mc:Choice>
        </mc:AlternateContent>
        <mc:AlternateContent xmlns:mc="http://schemas.openxmlformats.org/markup-compatibility/2006">
          <mc:Choice Requires="x14">
            <control shapeId="35912" r:id="rId29" name="Check Box 72">
              <controlPr defaultSize="0" autoFill="0" autoLine="0" autoPict="0">
                <anchor moveWithCells="1">
                  <from>
                    <xdr:col>3</xdr:col>
                    <xdr:colOff>419100</xdr:colOff>
                    <xdr:row>48</xdr:row>
                    <xdr:rowOff>0</xdr:rowOff>
                  </from>
                  <to>
                    <xdr:col>3</xdr:col>
                    <xdr:colOff>609600</xdr:colOff>
                    <xdr:row>49</xdr:row>
                    <xdr:rowOff>12700</xdr:rowOff>
                  </to>
                </anchor>
              </controlPr>
            </control>
          </mc:Choice>
        </mc:AlternateContent>
        <mc:AlternateContent xmlns:mc="http://schemas.openxmlformats.org/markup-compatibility/2006">
          <mc:Choice Requires="x14">
            <control shapeId="35913" r:id="rId30" name="Check Box 73">
              <controlPr defaultSize="0" autoFill="0" autoLine="0" autoPict="0">
                <anchor moveWithCells="1">
                  <from>
                    <xdr:col>3</xdr:col>
                    <xdr:colOff>419100</xdr:colOff>
                    <xdr:row>49</xdr:row>
                    <xdr:rowOff>0</xdr:rowOff>
                  </from>
                  <to>
                    <xdr:col>3</xdr:col>
                    <xdr:colOff>609600</xdr:colOff>
                    <xdr:row>50</xdr:row>
                    <xdr:rowOff>12700</xdr:rowOff>
                  </to>
                </anchor>
              </controlPr>
            </control>
          </mc:Choice>
        </mc:AlternateContent>
        <mc:AlternateContent xmlns:mc="http://schemas.openxmlformats.org/markup-compatibility/2006">
          <mc:Choice Requires="x14">
            <control shapeId="35919" r:id="rId31" name="Check Box 79">
              <controlPr defaultSize="0" autoFill="0" autoLine="0" autoPict="0">
                <anchor moveWithCells="1">
                  <from>
                    <xdr:col>3</xdr:col>
                    <xdr:colOff>419100</xdr:colOff>
                    <xdr:row>52</xdr:row>
                    <xdr:rowOff>0</xdr:rowOff>
                  </from>
                  <to>
                    <xdr:col>3</xdr:col>
                    <xdr:colOff>609600</xdr:colOff>
                    <xdr:row>53</xdr:row>
                    <xdr:rowOff>12700</xdr:rowOff>
                  </to>
                </anchor>
              </controlPr>
            </control>
          </mc:Choice>
        </mc:AlternateContent>
        <mc:AlternateContent xmlns:mc="http://schemas.openxmlformats.org/markup-compatibility/2006">
          <mc:Choice Requires="x14">
            <control shapeId="35920" r:id="rId32" name="Check Box 80">
              <controlPr defaultSize="0" autoFill="0" autoLine="0" autoPict="0">
                <anchor moveWithCells="1">
                  <from>
                    <xdr:col>3</xdr:col>
                    <xdr:colOff>419100</xdr:colOff>
                    <xdr:row>53</xdr:row>
                    <xdr:rowOff>0</xdr:rowOff>
                  </from>
                  <to>
                    <xdr:col>3</xdr:col>
                    <xdr:colOff>609600</xdr:colOff>
                    <xdr:row>54</xdr:row>
                    <xdr:rowOff>12700</xdr:rowOff>
                  </to>
                </anchor>
              </controlPr>
            </control>
          </mc:Choice>
        </mc:AlternateContent>
        <mc:AlternateContent xmlns:mc="http://schemas.openxmlformats.org/markup-compatibility/2006">
          <mc:Choice Requires="x14">
            <control shapeId="35921" r:id="rId33" name="Check Box 81">
              <controlPr defaultSize="0" autoFill="0" autoLine="0" autoPict="0">
                <anchor moveWithCells="1">
                  <from>
                    <xdr:col>3</xdr:col>
                    <xdr:colOff>419100</xdr:colOff>
                    <xdr:row>54</xdr:row>
                    <xdr:rowOff>0</xdr:rowOff>
                  </from>
                  <to>
                    <xdr:col>3</xdr:col>
                    <xdr:colOff>609600</xdr:colOff>
                    <xdr:row>55</xdr:row>
                    <xdr:rowOff>12700</xdr:rowOff>
                  </to>
                </anchor>
              </controlPr>
            </control>
          </mc:Choice>
        </mc:AlternateContent>
        <mc:AlternateContent xmlns:mc="http://schemas.openxmlformats.org/markup-compatibility/2006">
          <mc:Choice Requires="x14">
            <control shapeId="35922" r:id="rId34" name="Check Box 82">
              <controlPr defaultSize="0" autoFill="0" autoLine="0" autoPict="0">
                <anchor moveWithCells="1">
                  <from>
                    <xdr:col>3</xdr:col>
                    <xdr:colOff>419100</xdr:colOff>
                    <xdr:row>55</xdr:row>
                    <xdr:rowOff>0</xdr:rowOff>
                  </from>
                  <to>
                    <xdr:col>3</xdr:col>
                    <xdr:colOff>609600</xdr:colOff>
                    <xdr:row>56</xdr:row>
                    <xdr:rowOff>12700</xdr:rowOff>
                  </to>
                </anchor>
              </controlPr>
            </control>
          </mc:Choice>
        </mc:AlternateContent>
        <mc:AlternateContent xmlns:mc="http://schemas.openxmlformats.org/markup-compatibility/2006">
          <mc:Choice Requires="x14">
            <control shapeId="35923" r:id="rId35" name="Check Box 83">
              <controlPr defaultSize="0" autoFill="0" autoLine="0" autoPict="0">
                <anchor moveWithCells="1">
                  <from>
                    <xdr:col>3</xdr:col>
                    <xdr:colOff>419100</xdr:colOff>
                    <xdr:row>56</xdr:row>
                    <xdr:rowOff>0</xdr:rowOff>
                  </from>
                  <to>
                    <xdr:col>3</xdr:col>
                    <xdr:colOff>609600</xdr:colOff>
                    <xdr:row>57</xdr:row>
                    <xdr:rowOff>12700</xdr:rowOff>
                  </to>
                </anchor>
              </controlPr>
            </control>
          </mc:Choice>
        </mc:AlternateContent>
        <mc:AlternateContent xmlns:mc="http://schemas.openxmlformats.org/markup-compatibility/2006">
          <mc:Choice Requires="x14">
            <control shapeId="35924" r:id="rId36" name="Check Box 84">
              <controlPr defaultSize="0" autoFill="0" autoLine="0" autoPict="0">
                <anchor moveWithCells="1">
                  <from>
                    <xdr:col>3</xdr:col>
                    <xdr:colOff>419100</xdr:colOff>
                    <xdr:row>57</xdr:row>
                    <xdr:rowOff>0</xdr:rowOff>
                  </from>
                  <to>
                    <xdr:col>3</xdr:col>
                    <xdr:colOff>609600</xdr:colOff>
                    <xdr:row>58</xdr:row>
                    <xdr:rowOff>12700</xdr:rowOff>
                  </to>
                </anchor>
              </controlPr>
            </control>
          </mc:Choice>
        </mc:AlternateContent>
        <mc:AlternateContent xmlns:mc="http://schemas.openxmlformats.org/markup-compatibility/2006">
          <mc:Choice Requires="x14">
            <control shapeId="35925" r:id="rId37" name="Check Box 85">
              <controlPr defaultSize="0" autoFill="0" autoLine="0" autoPict="0">
                <anchor moveWithCells="1">
                  <from>
                    <xdr:col>3</xdr:col>
                    <xdr:colOff>419100</xdr:colOff>
                    <xdr:row>58</xdr:row>
                    <xdr:rowOff>0</xdr:rowOff>
                  </from>
                  <to>
                    <xdr:col>3</xdr:col>
                    <xdr:colOff>609600</xdr:colOff>
                    <xdr:row>59</xdr:row>
                    <xdr:rowOff>12700</xdr:rowOff>
                  </to>
                </anchor>
              </controlPr>
            </control>
          </mc:Choice>
        </mc:AlternateContent>
        <mc:AlternateContent xmlns:mc="http://schemas.openxmlformats.org/markup-compatibility/2006">
          <mc:Choice Requires="x14">
            <control shapeId="35926" r:id="rId38" name="Check Box 86">
              <controlPr defaultSize="0" autoFill="0" autoLine="0" autoPict="0">
                <anchor moveWithCells="1">
                  <from>
                    <xdr:col>3</xdr:col>
                    <xdr:colOff>419100</xdr:colOff>
                    <xdr:row>59</xdr:row>
                    <xdr:rowOff>0</xdr:rowOff>
                  </from>
                  <to>
                    <xdr:col>3</xdr:col>
                    <xdr:colOff>609600</xdr:colOff>
                    <xdr:row>60</xdr:row>
                    <xdr:rowOff>12700</xdr:rowOff>
                  </to>
                </anchor>
              </controlPr>
            </control>
          </mc:Choice>
        </mc:AlternateContent>
        <mc:AlternateContent xmlns:mc="http://schemas.openxmlformats.org/markup-compatibility/2006">
          <mc:Choice Requires="x14">
            <control shapeId="35927" r:id="rId39" name="Check Box 87">
              <controlPr defaultSize="0" autoFill="0" autoLine="0" autoPict="0">
                <anchor moveWithCells="1">
                  <from>
                    <xdr:col>3</xdr:col>
                    <xdr:colOff>419100</xdr:colOff>
                    <xdr:row>60</xdr:row>
                    <xdr:rowOff>0</xdr:rowOff>
                  </from>
                  <to>
                    <xdr:col>3</xdr:col>
                    <xdr:colOff>609600</xdr:colOff>
                    <xdr:row>61</xdr:row>
                    <xdr:rowOff>12700</xdr:rowOff>
                  </to>
                </anchor>
              </controlPr>
            </control>
          </mc:Choice>
        </mc:AlternateContent>
        <mc:AlternateContent xmlns:mc="http://schemas.openxmlformats.org/markup-compatibility/2006">
          <mc:Choice Requires="x14">
            <control shapeId="35928" r:id="rId40" name="Check Box 88">
              <controlPr defaultSize="0" autoFill="0" autoLine="0" autoPict="0">
                <anchor moveWithCells="1">
                  <from>
                    <xdr:col>3</xdr:col>
                    <xdr:colOff>419100</xdr:colOff>
                    <xdr:row>61</xdr:row>
                    <xdr:rowOff>0</xdr:rowOff>
                  </from>
                  <to>
                    <xdr:col>3</xdr:col>
                    <xdr:colOff>609600</xdr:colOff>
                    <xdr:row>62</xdr:row>
                    <xdr:rowOff>12700</xdr:rowOff>
                  </to>
                </anchor>
              </controlPr>
            </control>
          </mc:Choice>
        </mc:AlternateContent>
        <mc:AlternateContent xmlns:mc="http://schemas.openxmlformats.org/markup-compatibility/2006">
          <mc:Choice Requires="x14">
            <control shapeId="35929" r:id="rId41" name="Check Box 89">
              <controlPr defaultSize="0" autoFill="0" autoLine="0" autoPict="0">
                <anchor moveWithCells="1">
                  <from>
                    <xdr:col>3</xdr:col>
                    <xdr:colOff>419100</xdr:colOff>
                    <xdr:row>62</xdr:row>
                    <xdr:rowOff>0</xdr:rowOff>
                  </from>
                  <to>
                    <xdr:col>3</xdr:col>
                    <xdr:colOff>609600</xdr:colOff>
                    <xdr:row>63</xdr:row>
                    <xdr:rowOff>12700</xdr:rowOff>
                  </to>
                </anchor>
              </controlPr>
            </control>
          </mc:Choice>
        </mc:AlternateContent>
        <mc:AlternateContent xmlns:mc="http://schemas.openxmlformats.org/markup-compatibility/2006">
          <mc:Choice Requires="x14">
            <control shapeId="35930" r:id="rId42" name="Check Box 90">
              <controlPr defaultSize="0" autoFill="0" autoLine="0" autoPict="0">
                <anchor moveWithCells="1">
                  <from>
                    <xdr:col>3</xdr:col>
                    <xdr:colOff>419100</xdr:colOff>
                    <xdr:row>63</xdr:row>
                    <xdr:rowOff>0</xdr:rowOff>
                  </from>
                  <to>
                    <xdr:col>3</xdr:col>
                    <xdr:colOff>609600</xdr:colOff>
                    <xdr:row>63</xdr:row>
                    <xdr:rowOff>209550</xdr:rowOff>
                  </to>
                </anchor>
              </controlPr>
            </control>
          </mc:Choice>
        </mc:AlternateContent>
        <mc:AlternateContent xmlns:mc="http://schemas.openxmlformats.org/markup-compatibility/2006">
          <mc:Choice Requires="x14">
            <control shapeId="35931" r:id="rId43" name="Check Box 91">
              <controlPr defaultSize="0" autoFill="0" autoLine="0" autoPict="0">
                <anchor moveWithCells="1">
                  <from>
                    <xdr:col>3</xdr:col>
                    <xdr:colOff>419100</xdr:colOff>
                    <xdr:row>64</xdr:row>
                    <xdr:rowOff>0</xdr:rowOff>
                  </from>
                  <to>
                    <xdr:col>3</xdr:col>
                    <xdr:colOff>609600</xdr:colOff>
                    <xdr:row>64</xdr:row>
                    <xdr:rowOff>209550</xdr:rowOff>
                  </to>
                </anchor>
              </controlPr>
            </control>
          </mc:Choice>
        </mc:AlternateContent>
        <mc:AlternateContent xmlns:mc="http://schemas.openxmlformats.org/markup-compatibility/2006">
          <mc:Choice Requires="x14">
            <control shapeId="35937" r:id="rId44" name="Check Box 97">
              <controlPr defaultSize="0" autoFill="0" autoLine="0" autoPict="0">
                <anchor moveWithCells="1">
                  <from>
                    <xdr:col>3</xdr:col>
                    <xdr:colOff>476250</xdr:colOff>
                    <xdr:row>42</xdr:row>
                    <xdr:rowOff>69850</xdr:rowOff>
                  </from>
                  <to>
                    <xdr:col>3</xdr:col>
                    <xdr:colOff>666750</xdr:colOff>
                    <xdr:row>42</xdr:row>
                    <xdr:rowOff>279400</xdr:rowOff>
                  </to>
                </anchor>
              </controlPr>
            </control>
          </mc:Choice>
        </mc:AlternateContent>
        <mc:AlternateContent xmlns:mc="http://schemas.openxmlformats.org/markup-compatibility/2006">
          <mc:Choice Requires="x14">
            <control shapeId="35938" r:id="rId45" name="Check Box 98">
              <controlPr defaultSize="0" autoFill="0" autoLine="0" autoPict="0">
                <anchor moveWithCells="1">
                  <from>
                    <xdr:col>3</xdr:col>
                    <xdr:colOff>419100</xdr:colOff>
                    <xdr:row>9</xdr:row>
                    <xdr:rowOff>0</xdr:rowOff>
                  </from>
                  <to>
                    <xdr:col>3</xdr:col>
                    <xdr:colOff>609600</xdr:colOff>
                    <xdr:row>10</xdr:row>
                    <xdr:rowOff>12700</xdr:rowOff>
                  </to>
                </anchor>
              </controlPr>
            </control>
          </mc:Choice>
        </mc:AlternateContent>
        <mc:AlternateContent xmlns:mc="http://schemas.openxmlformats.org/markup-compatibility/2006">
          <mc:Choice Requires="x14">
            <control shapeId="35939" r:id="rId46" name="Check Box 99">
              <controlPr defaultSize="0" autoFill="0" autoLine="0" autoPict="0">
                <anchor moveWithCells="1">
                  <from>
                    <xdr:col>3</xdr:col>
                    <xdr:colOff>419100</xdr:colOff>
                    <xdr:row>10</xdr:row>
                    <xdr:rowOff>0</xdr:rowOff>
                  </from>
                  <to>
                    <xdr:col>3</xdr:col>
                    <xdr:colOff>609600</xdr:colOff>
                    <xdr:row>11</xdr:row>
                    <xdr:rowOff>12700</xdr:rowOff>
                  </to>
                </anchor>
              </controlPr>
            </control>
          </mc:Choice>
        </mc:AlternateContent>
        <mc:AlternateContent xmlns:mc="http://schemas.openxmlformats.org/markup-compatibility/2006">
          <mc:Choice Requires="x14">
            <control shapeId="35940" r:id="rId47" name="Check Box 100">
              <controlPr defaultSize="0" autoFill="0" autoLine="0" autoPict="0">
                <anchor moveWithCells="1">
                  <from>
                    <xdr:col>3</xdr:col>
                    <xdr:colOff>419100</xdr:colOff>
                    <xdr:row>28</xdr:row>
                    <xdr:rowOff>0</xdr:rowOff>
                  </from>
                  <to>
                    <xdr:col>3</xdr:col>
                    <xdr:colOff>609600</xdr:colOff>
                    <xdr:row>29</xdr:row>
                    <xdr:rowOff>12700</xdr:rowOff>
                  </to>
                </anchor>
              </controlPr>
            </control>
          </mc:Choice>
        </mc:AlternateContent>
        <mc:AlternateContent xmlns:mc="http://schemas.openxmlformats.org/markup-compatibility/2006">
          <mc:Choice Requires="x14">
            <control shapeId="35941" r:id="rId48" name="Check Box 101">
              <controlPr defaultSize="0" autoFill="0" autoLine="0" autoPict="0">
                <anchor moveWithCells="1">
                  <from>
                    <xdr:col>3</xdr:col>
                    <xdr:colOff>419100</xdr:colOff>
                    <xdr:row>29</xdr:row>
                    <xdr:rowOff>0</xdr:rowOff>
                  </from>
                  <to>
                    <xdr:col>3</xdr:col>
                    <xdr:colOff>609600</xdr:colOff>
                    <xdr:row>30</xdr:row>
                    <xdr:rowOff>12700</xdr:rowOff>
                  </to>
                </anchor>
              </controlPr>
            </control>
          </mc:Choice>
        </mc:AlternateContent>
        <mc:AlternateContent xmlns:mc="http://schemas.openxmlformats.org/markup-compatibility/2006">
          <mc:Choice Requires="x14">
            <control shapeId="35942" r:id="rId49" name="Check Box 102">
              <controlPr defaultSize="0" autoFill="0" autoLine="0" autoPict="0">
                <anchor moveWithCells="1">
                  <from>
                    <xdr:col>3</xdr:col>
                    <xdr:colOff>419100</xdr:colOff>
                    <xdr:row>50</xdr:row>
                    <xdr:rowOff>0</xdr:rowOff>
                  </from>
                  <to>
                    <xdr:col>3</xdr:col>
                    <xdr:colOff>609600</xdr:colOff>
                    <xdr:row>51</xdr:row>
                    <xdr:rowOff>12700</xdr:rowOff>
                  </to>
                </anchor>
              </controlPr>
            </control>
          </mc:Choice>
        </mc:AlternateContent>
        <mc:AlternateContent xmlns:mc="http://schemas.openxmlformats.org/markup-compatibility/2006">
          <mc:Choice Requires="x14">
            <control shapeId="35943" r:id="rId50" name="Check Box 103">
              <controlPr defaultSize="0" autoFill="0" autoLine="0" autoPict="0">
                <anchor moveWithCells="1">
                  <from>
                    <xdr:col>3</xdr:col>
                    <xdr:colOff>419100</xdr:colOff>
                    <xdr:row>51</xdr:row>
                    <xdr:rowOff>0</xdr:rowOff>
                  </from>
                  <to>
                    <xdr:col>3</xdr:col>
                    <xdr:colOff>609600</xdr:colOff>
                    <xdr:row>52</xdr:row>
                    <xdr:rowOff>12700</xdr:rowOff>
                  </to>
                </anchor>
              </controlPr>
            </control>
          </mc:Choice>
        </mc:AlternateContent>
        <mc:AlternateContent xmlns:mc="http://schemas.openxmlformats.org/markup-compatibility/2006">
          <mc:Choice Requires="x14">
            <control shapeId="35944" r:id="rId51" name="Check Box 104">
              <controlPr defaultSize="0" autoFill="0" autoLine="0" autoPict="0">
                <anchor moveWithCells="1">
                  <from>
                    <xdr:col>3</xdr:col>
                    <xdr:colOff>412750</xdr:colOff>
                    <xdr:row>20</xdr:row>
                    <xdr:rowOff>69850</xdr:rowOff>
                  </from>
                  <to>
                    <xdr:col>3</xdr:col>
                    <xdr:colOff>704850</xdr:colOff>
                    <xdr:row>20</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32</vt:i4>
      </vt:variant>
    </vt:vector>
  </HeadingPairs>
  <TitlesOfParts>
    <vt:vector size="49" baseType="lpstr">
      <vt:lpstr>Introduction</vt:lpstr>
      <vt:lpstr>Position Descriptions</vt:lpstr>
      <vt:lpstr>Definitions</vt:lpstr>
      <vt:lpstr>1.1 Staffing</vt:lpstr>
      <vt:lpstr>1.2 Staff Qualifications</vt:lpstr>
      <vt:lpstr>1.3 Staff Training</vt:lpstr>
      <vt:lpstr>2.1 Square Footage</vt:lpstr>
      <vt:lpstr>2.2 Facility Quality</vt:lpstr>
      <vt:lpstr>3.1 Recreation Programming</vt:lpstr>
      <vt:lpstr>3.2 Fitness Programming</vt:lpstr>
      <vt:lpstr>4.1 Recreation Equipment</vt:lpstr>
      <vt:lpstr>4.2 Fitness Equipment</vt:lpstr>
      <vt:lpstr>5.1 Administration</vt:lpstr>
      <vt:lpstr>Scoring Matrix</vt:lpstr>
      <vt:lpstr>Rec activity &amp; SQFT master</vt:lpstr>
      <vt:lpstr>Fitness acty master</vt:lpstr>
      <vt:lpstr>Revised Fit Equipment</vt:lpstr>
      <vt:lpstr>cardio_tbl</vt:lpstr>
      <vt:lpstr>fitbesthomeport</vt:lpstr>
      <vt:lpstr>fitbestshipyard</vt:lpstr>
      <vt:lpstr>fitbestunderway</vt:lpstr>
      <vt:lpstr>fitbetterhomeport</vt:lpstr>
      <vt:lpstr>fitbettershipyard</vt:lpstr>
      <vt:lpstr>fitbetterunderway</vt:lpstr>
      <vt:lpstr>fitgoodhomeport</vt:lpstr>
      <vt:lpstr>fitgoodshipyard</vt:lpstr>
      <vt:lpstr>fitgoodunderway</vt:lpstr>
      <vt:lpstr>plate_tbl</vt:lpstr>
      <vt:lpstr>'1.2 Staff Qualifications'!Print_Area</vt:lpstr>
      <vt:lpstr>'3.2 Fitness Programming'!Print_Area</vt:lpstr>
      <vt:lpstr>'4.2 Fitness Equipment'!Print_Area</vt:lpstr>
      <vt:lpstr>'5.1 Administration'!Print_Area</vt:lpstr>
      <vt:lpstr>'Rec activity &amp; SQFT master'!Print_Area</vt:lpstr>
      <vt:lpstr>'Revised Fit Equipment'!Print_Area</vt:lpstr>
      <vt:lpstr>recbesthomeport</vt:lpstr>
      <vt:lpstr>recbestshipyard</vt:lpstr>
      <vt:lpstr>recbestunderway</vt:lpstr>
      <vt:lpstr>recbetterhomeport</vt:lpstr>
      <vt:lpstr>recbettershipyard</vt:lpstr>
      <vt:lpstr>recbetterunderway</vt:lpstr>
      <vt:lpstr>recgoodhomeport</vt:lpstr>
      <vt:lpstr>recgoodshipyard</vt:lpstr>
      <vt:lpstr>recgoodunderway</vt:lpstr>
      <vt:lpstr>ship_type</vt:lpstr>
      <vt:lpstr>shiptbl</vt:lpstr>
      <vt:lpstr>shiptypenum</vt:lpstr>
      <vt:lpstr>sqft_tbl</vt:lpstr>
      <vt:lpstr>stack_tbl</vt:lpstr>
      <vt:lpstr>strength_tbl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dc:creator>
  <cp:lastModifiedBy>Guinane, Therese M NAF USN (USA)</cp:lastModifiedBy>
  <cp:lastPrinted>2015-02-20T18:51:45Z</cp:lastPrinted>
  <dcterms:created xsi:type="dcterms:W3CDTF">2009-01-14T16:12:19Z</dcterms:created>
  <dcterms:modified xsi:type="dcterms:W3CDTF">2021-02-17T15:58:28Z</dcterms:modified>
</cp:coreProperties>
</file>