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drawings/drawing10.xml" ContentType="application/vnd.openxmlformats-officedocument.drawing+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drawings/drawing11.xml" ContentType="application/vnd.openxmlformats-officedocument.drawing+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herese.m.guinane\Desktop\STANDARDS UPDATE\"/>
    </mc:Choice>
  </mc:AlternateContent>
  <bookViews>
    <workbookView xWindow="0" yWindow="56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Equipment'!$A$1:$H$89</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85" i="10" l="1"/>
  <c r="F65" i="10"/>
  <c r="F16" i="10"/>
  <c r="F13" i="10"/>
  <c r="F9" i="10"/>
  <c r="F8" i="10"/>
  <c r="F23" i="10"/>
  <c r="C24" i="10"/>
  <c r="C25" i="10"/>
  <c r="C26" i="10"/>
  <c r="C27" i="10"/>
  <c r="I82" i="10" l="1"/>
  <c r="I81" i="10"/>
  <c r="I80" i="10"/>
  <c r="I76" i="10"/>
  <c r="I77" i="10"/>
  <c r="I75" i="10"/>
  <c r="I18" i="9"/>
  <c r="I16" i="9"/>
  <c r="I15" i="9"/>
  <c r="I14" i="9"/>
  <c r="J77" i="10" l="1"/>
  <c r="H76" i="10" s="1"/>
  <c r="J82" i="10"/>
  <c r="H81" i="10" s="1"/>
  <c r="J18" i="9"/>
  <c r="H18" i="9" s="1"/>
  <c r="J15" i="9"/>
  <c r="H15" i="9" s="1"/>
  <c r="I60" i="18" l="1"/>
  <c r="I59" i="18"/>
  <c r="I58" i="18"/>
  <c r="I57" i="18"/>
  <c r="I56" i="18"/>
  <c r="I55" i="18"/>
  <c r="I54" i="18"/>
  <c r="I53" i="18"/>
  <c r="I52" i="18"/>
  <c r="I51" i="18"/>
  <c r="I50" i="18"/>
  <c r="I49" i="18"/>
  <c r="I48" i="18"/>
  <c r="I47" i="18"/>
  <c r="I46" i="18"/>
  <c r="I40" i="18"/>
  <c r="I39" i="18"/>
  <c r="I38" i="18"/>
  <c r="J40" i="18" s="1"/>
  <c r="H39" i="18" s="1"/>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54" i="19" l="1"/>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D68" i="13"/>
  <c r="B68" i="13"/>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D61" i="13"/>
  <c r="B61" i="13"/>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G2" i="10"/>
  <c r="F2" i="38"/>
  <c r="G2" i="18"/>
  <c r="G2" i="6"/>
  <c r="G2" i="4"/>
  <c r="G2" i="2"/>
  <c r="E22" i="18" l="1"/>
  <c r="F21" i="19"/>
  <c r="E2" i="1" l="1"/>
  <c r="C44" i="10" l="1"/>
  <c r="C31" i="10"/>
  <c r="C29" i="10"/>
  <c r="C57" i="18"/>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F83" i="10" l="1"/>
  <c r="E14" i="38"/>
  <c r="D193" i="1"/>
  <c r="D192" i="1"/>
  <c r="D191" i="1"/>
  <c r="D190" i="1"/>
  <c r="D189" i="1"/>
  <c r="D188" i="1"/>
  <c r="D187" i="1"/>
  <c r="D180" i="1"/>
  <c r="D179" i="1"/>
  <c r="D178" i="1"/>
  <c r="D177" i="1"/>
  <c r="D176" i="1"/>
  <c r="D175" i="1"/>
  <c r="D174" i="1"/>
  <c r="C169" i="1"/>
  <c r="D163" i="1"/>
  <c r="D162" i="1"/>
  <c r="D161" i="1"/>
  <c r="D154" i="1"/>
  <c r="D153" i="1"/>
  <c r="D152" i="1"/>
  <c r="D151" i="1"/>
  <c r="D150" i="1"/>
  <c r="D149" i="1"/>
  <c r="D148" i="1"/>
  <c r="D142" i="1"/>
  <c r="D141" i="1"/>
  <c r="D140" i="1"/>
  <c r="D139" i="1"/>
  <c r="D138" i="1"/>
  <c r="D137" i="1"/>
  <c r="D136" i="1"/>
  <c r="D135" i="1"/>
  <c r="D134" i="1"/>
  <c r="D128" i="1"/>
  <c r="D127" i="1"/>
  <c r="D126" i="1"/>
  <c r="D125"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F31" i="10"/>
  <c r="F44" i="10"/>
  <c r="F73" i="10"/>
  <c r="F75" i="10"/>
  <c r="F77" i="10"/>
  <c r="F78" i="10"/>
  <c r="F80" i="10"/>
  <c r="F81" i="10"/>
  <c r="F82" i="10"/>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3" i="38" s="1"/>
  <c r="E9" i="38"/>
  <c r="E82" i="10"/>
  <c r="E81" i="10"/>
  <c r="E77" i="10"/>
  <c r="E76" i="10"/>
  <c r="F76" i="10" s="1"/>
  <c r="F85" i="10" s="1"/>
  <c r="D85" i="10" s="1"/>
  <c r="AR5" i="13" s="1"/>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3" i="38"/>
  <c r="C23"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Q21" i="13" s="1"/>
  <c r="C5" i="13" s="1"/>
  <c r="C19" i="13" s="1"/>
  <c r="C21" i="13" s="1"/>
  <c r="E21" i="13" s="1"/>
  <c r="L69" i="13"/>
  <c r="Q69" i="13" s="1"/>
  <c r="L61" i="13"/>
  <c r="Q61" i="13" s="1"/>
  <c r="L64" i="13"/>
  <c r="Q64" i="13" s="1"/>
  <c r="L65" i="13"/>
  <c r="Q65" i="13" s="1"/>
  <c r="L70" i="13"/>
  <c r="Q70" i="13" s="1"/>
  <c r="P71" i="13" l="1"/>
  <c r="C61" i="13"/>
  <c r="E61" i="13" s="1"/>
  <c r="C60" i="13"/>
  <c r="E60" i="13" s="1"/>
  <c r="C64" i="13"/>
  <c r="E64" i="13" s="1"/>
  <c r="C70" i="13"/>
  <c r="E70" i="13" s="1"/>
  <c r="C62" i="13"/>
  <c r="E62" i="13" s="1"/>
  <c r="C68" i="13"/>
  <c r="E68" i="13" s="1"/>
  <c r="C65" i="13"/>
  <c r="E65" i="13" s="1"/>
  <c r="C63" i="13"/>
  <c r="E63" i="13" s="1"/>
  <c r="C69" i="13"/>
  <c r="E69" i="13" s="1"/>
  <c r="C67" i="13"/>
  <c r="E67" i="13" s="1"/>
  <c r="C66" i="13"/>
  <c r="E66" i="13" s="1"/>
  <c r="Q71" i="13"/>
  <c r="B49" i="13"/>
  <c r="C49" i="13" s="1"/>
  <c r="B50" i="13"/>
  <c r="C50" i="13" s="1"/>
  <c r="E23" i="13"/>
  <c r="B47" i="13"/>
  <c r="C47" i="13" s="1"/>
  <c r="B48" i="13"/>
  <c r="C48" i="13" s="1"/>
  <c r="E71" i="13" l="1"/>
  <c r="C51" i="13"/>
  <c r="E24" i="13" s="1"/>
</calcChain>
</file>

<file path=xl/sharedStrings.xml><?xml version="1.0" encoding="utf-8"?>
<sst xmlns="http://schemas.openxmlformats.org/spreadsheetml/2006/main" count="1568" uniqueCount="505">
  <si>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</si>
  <si>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</si>
  <si>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</si>
  <si>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</si>
  <si>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</si>
  <si>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</si>
  <si>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</si>
  <si>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</si>
  <si>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</si>
  <si>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</si>
  <si>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</si>
  <si>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</si>
  <si>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</si>
  <si>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</si>
  <si>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</si>
  <si>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</si>
  <si>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</si>
  <si>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</si>
  <si>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</si>
  <si>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</si>
  <si>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</si>
  <si>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</si>
  <si>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</si>
  <si>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</si>
  <si>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</si>
  <si>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</si>
  <si>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</si>
  <si>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</si>
  <si>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</si>
  <si>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</si>
  <si>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</si>
  <si>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</si>
  <si>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</si>
  <si>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</si>
  <si>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</si>
  <si>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</si>
  <si>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</si>
  <si>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</si>
  <si>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</si>
  <si>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</si>
  <si>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</si>
  <si>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</si>
  <si>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</si>
  <si>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</si>
  <si>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</si>
  <si>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</si>
  <si>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</si>
  <si>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</si>
  <si>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</si>
  <si>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</si>
  <si>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</si>
  <si>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</si>
  <si>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</si>
  <si>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</si>
  <si>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</si>
  <si>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</si>
  <si>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</si>
  <si>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</si>
  <si>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</si>
  <si>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</si>
  <si>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</si>
  <si>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</si>
  <si>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</si>
  <si>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</si>
  <si>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</si>
  <si>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</si>
  <si>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</si>
  <si>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</si>
  <si>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</si>
  <si>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</si>
  <si>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</si>
  <si>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</si>
  <si>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</si>
  <si>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</si>
  <si>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</si>
  <si>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</si>
  <si>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</si>
  <si>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</si>
  <si>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</si>
  <si>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</si>
  <si>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</si>
  <si>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</si>
  <si>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</si>
  <si>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</si>
  <si>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</si>
  <si>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</si>
  <si>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</si>
  <si>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</si>
  <si>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</si>
  <si>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</si>
  <si>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</si>
  <si>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</si>
  <si>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</si>
  <si>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</si>
  <si>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</si>
  <si>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</si>
  <si>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</si>
  <si>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</si>
  <si>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</si>
  <si>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</si>
  <si>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</si>
  <si>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</si>
  <si>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</si>
  <si>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</si>
  <si>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</si>
  <si>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</si>
  <si>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</si>
  <si>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</si>
  <si>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</si>
  <si>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</si>
  <si>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</si>
  <si>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</si>
  <si>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</si>
  <si>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</si>
  <si>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</si>
  <si>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</si>
  <si>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</si>
  <si>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</si>
  <si>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</si>
  <si>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</si>
  <si>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</si>
  <si>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</si>
  <si>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</si>
  <si>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</si>
  <si>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</si>
  <si>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</si>
  <si>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</si>
  <si>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</si>
  <si>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</si>
  <si>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</si>
  <si>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</si>
  <si>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</si>
  <si>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</si>
  <si>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</si>
  <si>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</si>
  <si>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</si>
  <si>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</si>
  <si>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</si>
  <si>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</si>
  <si>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</si>
  <si>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</si>
  <si>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</si>
  <si>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</si>
  <si>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</si>
  <si>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</si>
  <si>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</si>
  <si>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</si>
  <si>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</si>
  <si>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</si>
  <si>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</si>
  <si>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</si>
  <si>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</si>
  <si>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</si>
  <si>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</si>
  <si>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</si>
  <si>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</si>
  <si>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</si>
  <si>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</si>
  <si>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</si>
  <si>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</si>
  <si>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</si>
  <si>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</si>
  <si>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</si>
  <si>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</si>
  <si>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</si>
  <si>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</si>
  <si>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</si>
  <si>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</si>
  <si>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</si>
  <si>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</si>
  <si>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</si>
  <si>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</si>
  <si>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</si>
  <si>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</si>
  <si>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</si>
  <si>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</si>
  <si>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</si>
  <si>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</si>
  <si>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</si>
  <si>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</si>
  <si>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</si>
  <si>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</si>
  <si>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</si>
  <si>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</si>
  <si>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</si>
  <si>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</si>
  <si>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</si>
  <si>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</si>
  <si>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</si>
  <si>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</si>
  <si>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</si>
  <si>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</si>
  <si>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</si>
  <si>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</si>
  <si>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</si>
  <si>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</si>
  <si>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</si>
  <si>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</si>
  <si>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</si>
  <si>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</si>
  <si>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</si>
  <si>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</si>
  <si>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</si>
  <si>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</si>
  <si>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</si>
  <si>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</si>
  <si>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</si>
  <si>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</si>
  <si>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</si>
  <si>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</si>
  <si>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</si>
  <si>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</si>
  <si>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</si>
  <si>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</si>
  <si>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</si>
  <si>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</si>
  <si>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</si>
  <si>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 xml:space="preserve">Navy Digital Video Disk (NDVD) Player </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</si>
  <si>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</si>
  <si>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</si>
  <si>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</si>
  <si>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</si>
  <si>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</si>
  <si>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</si>
  <si>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</si>
  <si>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</si>
  <si>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</si>
  <si>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</si>
  <si>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</si>
  <si>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</si>
  <si>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</si>
  <si>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</si>
  <si>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</si>
  <si>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</si>
  <si>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</si>
  <si>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</si>
  <si>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</si>
  <si>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</si>
  <si>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</si>
  <si>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</si>
  <si>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</si>
  <si>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</si>
  <si>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</si>
  <si>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</si>
  <si>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</si>
  <si>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</si>
  <si>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</si>
  <si>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</si>
  <si>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</si>
  <si>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</si>
  <si>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</si>
  <si>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</si>
  <si>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</si>
  <si>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</si>
  <si>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</si>
  <si>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</si>
  <si>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</si>
  <si>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</si>
  <si>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</si>
  <si>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</si>
  <si>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</si>
  <si>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</si>
  <si>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</si>
  <si>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</si>
  <si>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</si>
  <si>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</si>
  <si>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</si>
  <si>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</si>
  <si>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</si>
  <si>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</si>
  <si>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</si>
  <si>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</si>
  <si>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</si>
  <si>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</si>
  <si>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</si>
  <si>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</si>
  <si>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</si>
  <si>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</si>
  <si>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</si>
  <si>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</si>
  <si>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</si>
  <si>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</si>
  <si>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</si>
  <si>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</si>
  <si>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</si>
  <si>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</si>
  <si>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</si>
  <si>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</si>
  <si>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</si>
  <si>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</si>
  <si>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</si>
  <si>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</si>
  <si>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</si>
  <si>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</si>
  <si>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</si>
  <si>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</si>
  <si>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</si>
  <si>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</si>
  <si>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</si>
  <si>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</si>
  <si>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</si>
  <si>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</si>
  <si>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</si>
  <si>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</si>
  <si>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</si>
  <si>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</si>
  <si>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</si>
  <si>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</si>
  <si>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</si>
  <si>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</si>
  <si>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</si>
  <si>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</si>
  <si>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</si>
  <si>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</si>
  <si>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</si>
  <si>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</si>
  <si>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</si>
  <si>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</si>
  <si>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</si>
  <si>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</si>
  <si>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</si>
  <si>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</si>
  <si>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Required Strength Machines</t>
  </si>
  <si>
    <t>Required Adjustable Weight Stack Machines</t>
  </si>
  <si>
    <t>Required Plate Loaded Machines</t>
  </si>
  <si>
    <t>Pick one answer</t>
  </si>
  <si>
    <t>4.2.1</t>
  </si>
  <si>
    <t>4.2.2</t>
  </si>
  <si>
    <t>4.2.3</t>
  </si>
  <si>
    <t>4.2.4</t>
  </si>
  <si>
    <t>4.2.5</t>
  </si>
  <si>
    <t>4.2.6</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</si>
  <si>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</si>
  <si>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</si>
  <si>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</si>
  <si>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</si>
  <si>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</si>
  <si>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</si>
  <si>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</si>
  <si>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</si>
  <si>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</si>
  <si>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</si>
  <si>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</si>
  <si>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</si>
  <si>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</si>
  <si>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</si>
  <si>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</si>
  <si>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</si>
  <si>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</si>
  <si>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</si>
  <si>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</si>
  <si>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</si>
  <si>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</si>
  <si>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</si>
  <si>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</si>
  <si>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</si>
  <si>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</si>
  <si>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</si>
  <si>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</si>
  <si>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</si>
  <si>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</si>
  <si>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</si>
  <si>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</si>
  <si>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</si>
  <si>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</si>
  <si>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</si>
  <si>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</si>
  <si>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</si>
  <si>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</si>
  <si>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</si>
  <si>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</si>
  <si>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</si>
  <si>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</si>
  <si>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</si>
  <si>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</si>
  <si>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</si>
  <si>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</si>
  <si>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</si>
  <si>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</si>
  <si>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</si>
  <si>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</si>
  <si>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</si>
  <si>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</si>
  <si>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 xml:space="preserve">The ship has at least this total number of pieces of required plate loaded machines with listed weight plates. </t>
  </si>
  <si>
    <t>The ship has at least this total number of pieces of required adjustable weight stack machines:</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</si>
  <si>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</si>
  <si>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</si>
  <si>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</si>
  <si>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</si>
  <si>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</si>
  <si>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</si>
  <si>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</si>
  <si>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</si>
  <si>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</si>
  <si>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</si>
  <si>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</si>
  <si>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</si>
  <si>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</si>
  <si>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</si>
  <si>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</si>
  <si>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</si>
  <si>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</si>
  <si>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</si>
  <si>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</si>
  <si>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</si>
  <si>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</si>
  <si>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</si>
  <si>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</si>
  <si>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</si>
  <si>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</si>
  <si>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</si>
  <si>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</si>
  <si>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</si>
  <si>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</si>
  <si>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</si>
  <si>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</si>
  <si>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</si>
  <si>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</si>
  <si>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</si>
  <si>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</si>
  <si>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</si>
  <si>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</si>
  <si>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</si>
  <si>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</si>
  <si>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</si>
  <si>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</si>
  <si>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</si>
  <si>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</si>
  <si>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</si>
  <si>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</si>
  <si>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</si>
  <si>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</si>
  <si>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</si>
  <si>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</si>
  <si>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</si>
  <si>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</si>
  <si>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</si>
  <si>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</si>
  <si>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</si>
  <si>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</si>
  <si>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</si>
  <si>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</si>
  <si>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</si>
  <si>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</si>
  <si>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</si>
  <si>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</si>
  <si>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</si>
  <si>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</si>
  <si>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</si>
  <si>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</si>
  <si>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</si>
  <si>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</si>
  <si>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</si>
  <si>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</si>
  <si>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</si>
  <si>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</si>
  <si>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</si>
  <si>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</si>
  <si>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</si>
  <si>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</si>
  <si>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</si>
  <si>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</si>
  <si>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</si>
  <si>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</si>
  <si>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</si>
  <si>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</si>
  <si>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</si>
  <si>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</si>
  <si>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</si>
  <si>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</si>
  <si>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</si>
  <si>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</si>
  <si>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</si>
  <si>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</si>
  <si>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</si>
  <si>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</si>
  <si>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</si>
  <si>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</si>
  <si>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</si>
  <si>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t>Recommended</t>
  </si>
  <si>
    <r>
      <t xml:space="preserve">Adj Weight Stack Corner Cable Cross </t>
    </r>
    <r>
      <rPr>
        <u/>
        <sz val="12"/>
        <rFont val="Times New Roman"/>
        <family val="1"/>
      </rPr>
      <t>(Authorized)</t>
    </r>
  </si>
  <si>
    <r>
      <t>Plate Loaded Smith Machine</t>
    </r>
    <r>
      <rPr>
        <u/>
        <sz val="12"/>
        <rFont val="Times New Roman"/>
        <family val="1"/>
      </rPr>
      <t xml:space="preserve"> (Authorized)</t>
    </r>
  </si>
  <si>
    <t>The ship received an overall satisfactory score on the last CNIC Afloat Recreation Program Inspection (75-89 score).</t>
  </si>
  <si>
    <t>The ship received an overall outstanding score on the last CNIC Afloat Recreation Program Inspection (90-100 score)</t>
  </si>
  <si>
    <t xml:space="preserve">CNICINST 1710.3 Operation of Morale, Welfare and Recreation (MWR) Programs 
</t>
  </si>
  <si>
    <t>CNICINST 1710.5 Administration of Afloat Recreation Programs</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</si>
  <si>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</si>
  <si>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</si>
  <si>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</si>
  <si>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</si>
  <si>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</si>
  <si>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</si>
  <si>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</si>
  <si>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</si>
  <si>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</si>
  <si>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</si>
  <si>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</si>
  <si>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The ship has at least this number of strength equipment in the list below:  </t>
  </si>
  <si>
    <t xml:space="preserve">The ship has additional equipment available </t>
  </si>
  <si>
    <t xml:space="preserve">Kettlebells - up to 44kg </t>
  </si>
  <si>
    <t xml:space="preserve">Non-Reactive Medicine Balls </t>
  </si>
  <si>
    <t xml:space="preserve">Jump Ropes </t>
  </si>
  <si>
    <t xml:space="preserve">Lacrosse Balls </t>
  </si>
  <si>
    <t xml:space="preserve">Foam Rollers </t>
  </si>
  <si>
    <t xml:space="preserve">Fitbench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</si>
</sst>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60"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
      <u/>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33">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Fill="1" applyBorder="1" applyAlignment="1">
      <alignment horizontal="right" vertical="top" wrapText="1"/>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9"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5" fillId="0" borderId="0" xfId="0" applyFont="1" applyAlignment="1">
      <alignment horizontal="left" vertical="top" wrapText="1"/>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5" fillId="0" borderId="0" xfId="0" applyFont="1" applyFill="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5" fillId="0" borderId="0" xfId="0" applyFont="1" applyBorder="1" applyAlignment="1">
      <alignment horizontal="left" vertical="top"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25" fillId="0" borderId="16" xfId="0" applyFont="1" applyFill="1" applyBorder="1" applyAlignment="1">
      <alignment horizontal="right"/>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2" fillId="0" borderId="6" xfId="0" applyFont="1" applyBorder="1" applyAlignment="1">
      <alignment horizontal="left"/>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2" lockText="1"/>
</file>

<file path=xl/ctrlProps/ctrlProp101.xml><?xml version="1.0" encoding="utf-8"?>
<formControlPr xmlns="http://schemas.microsoft.com/office/spreadsheetml/2009/9/main" objectType="CheckBox" fmlaLink="$B$163"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14" lockText="1"/>
</file>

<file path=xl/ctrlProps/ctrlProp303.xml><?xml version="1.0" encoding="utf-8"?>
<formControlPr xmlns="http://schemas.microsoft.com/office/spreadsheetml/2009/9/main" objectType="CheckBox" fmlaLink="$D$23" lockText="1" noThreeD="1"/>
</file>

<file path=xl/ctrlProps/ctrlProp304.xml><?xml version="1.0" encoding="utf-8"?>
<formControlPr xmlns="http://schemas.microsoft.com/office/spreadsheetml/2009/9/main" objectType="CheckBox" fmlaLink="$D$31" lockText="1"/>
</file>

<file path=xl/ctrlProps/ctrlProp305.xml><?xml version="1.0" encoding="utf-8"?>
<formControlPr xmlns="http://schemas.microsoft.com/office/spreadsheetml/2009/9/main" objectType="CheckBox" fmlaLink="$D$44" lockText="1"/>
</file>

<file path=xl/ctrlProps/ctrlProp306.xml><?xml version="1.0" encoding="utf-8"?>
<formControlPr xmlns="http://schemas.microsoft.com/office/spreadsheetml/2009/9/main" objectType="CheckBox" fmlaLink="$D$80" lockText="1" noThreeD="1"/>
</file>

<file path=xl/ctrlProps/ctrlProp307.xml><?xml version="1.0" encoding="utf-8"?>
<formControlPr xmlns="http://schemas.microsoft.com/office/spreadsheetml/2009/9/main" objectType="CheckBox" fmlaLink="$D$82" lockText="1" noThreeD="1"/>
</file>

<file path=xl/ctrlProps/ctrlProp308.xml><?xml version="1.0" encoding="utf-8"?>
<formControlPr xmlns="http://schemas.microsoft.com/office/spreadsheetml/2009/9/main" objectType="CheckBox" fmlaLink="$D$83" lockText="1" noThreeD="1"/>
</file>

<file path=xl/ctrlProps/ctrlProp309.xml><?xml version="1.0" encoding="utf-8"?>
<formControlPr xmlns="http://schemas.microsoft.com/office/spreadsheetml/2009/9/main" objectType="CheckBox" fmlaLink="$D$82"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82" lockText="1" noThreeD="1"/>
</file>

<file path=xl/ctrlProps/ctrlProp311.xml><?xml version="1.0" encoding="utf-8"?>
<formControlPr xmlns="http://schemas.microsoft.com/office/spreadsheetml/2009/9/main" objectType="CheckBox" fmlaLink="$D$8" lockText="1" noThreeD="1"/>
</file>

<file path=xl/ctrlProps/ctrlProp312.xml><?xml version="1.0" encoding="utf-8"?>
<formControlPr xmlns="http://schemas.microsoft.com/office/spreadsheetml/2009/9/main" objectType="CheckBox" fmlaLink="D13" lockText="1" noThreeD="1"/>
</file>

<file path=xl/ctrlProps/ctrlProp313.xml><?xml version="1.0" encoding="utf-8"?>
<formControlPr xmlns="http://schemas.microsoft.com/office/spreadsheetml/2009/9/main" objectType="CheckBox" fmlaLink="D16" lockText="1" noThreeD="1"/>
</file>

<file path=xl/ctrlProps/ctrlProp314.xml><?xml version="1.0" encoding="utf-8"?>
<formControlPr xmlns="http://schemas.microsoft.com/office/spreadsheetml/2009/9/main" objectType="CheckBox" fmlaLink="D9" lockText="1" noThreeD="1"/>
</file>

<file path=xl/ctrlProps/ctrlProp315.xml><?xml version="1.0" encoding="utf-8"?>
<formControlPr xmlns="http://schemas.microsoft.com/office/spreadsheetml/2009/9/main" objectType="CheckBox" fmlaLink="$D$81" lockText="1" noThreeD="1"/>
</file>

<file path=xl/ctrlProps/ctrlProp316.xml><?xml version="1.0" encoding="utf-8"?>
<formControlPr xmlns="http://schemas.microsoft.com/office/spreadsheetml/2009/9/main" objectType="CheckBox" fmlaLink="$D$65" lockText="1" noThreeD="1"/>
</file>

<file path=xl/ctrlProps/ctrlProp317.xml><?xml version="1.0" encoding="utf-8"?>
<formControlPr xmlns="http://schemas.microsoft.com/office/spreadsheetml/2009/9/main" objectType="CheckBox" fmlaLink="$D$73" lockText="1" noThreeD="1"/>
</file>

<file path=xl/ctrlProps/ctrlProp318.xml><?xml version="1.0" encoding="utf-8"?>
<formControlPr xmlns="http://schemas.microsoft.com/office/spreadsheetml/2009/9/main" objectType="CheckBox" fmlaLink="$D$75" lockText="1" noThreeD="1"/>
</file>

<file path=xl/ctrlProps/ctrlProp319.xml><?xml version="1.0" encoding="utf-8"?>
<formControlPr xmlns="http://schemas.microsoft.com/office/spreadsheetml/2009/9/main" objectType="CheckBox" fmlaLink="$D$76"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77" lockText="1" noThreeD="1"/>
</file>

<file path=xl/ctrlProps/ctrlProp321.xml><?xml version="1.0" encoding="utf-8"?>
<formControlPr xmlns="http://schemas.microsoft.com/office/spreadsheetml/2009/9/main" objectType="CheckBox" fmlaLink="$D$78" lockText="1" noThreeD="1"/>
</file>

<file path=xl/ctrlProps/ctrlProp322.xml><?xml version="1.0" encoding="utf-8"?>
<formControlPr xmlns="http://schemas.microsoft.com/office/spreadsheetml/2009/9/main" objectType="CheckBox" fmlaLink="$C$9" lockText="1"/>
</file>

<file path=xl/ctrlProps/ctrlProp323.xml><?xml version="1.0" encoding="utf-8"?>
<formControlPr xmlns="http://schemas.microsoft.com/office/spreadsheetml/2009/9/main" objectType="CheckBox" fmlaLink="$C$11" lockText="1"/>
</file>

<file path=xl/ctrlProps/ctrlProp324.xml><?xml version="1.0" encoding="utf-8"?>
<formControlPr xmlns="http://schemas.microsoft.com/office/spreadsheetml/2009/9/main" objectType="CheckBox" fmlaLink="$C$12" lockText="1"/>
</file>

<file path=xl/ctrlProps/ctrlProp325.xml><?xml version="1.0" encoding="utf-8"?>
<formControlPr xmlns="http://schemas.microsoft.com/office/spreadsheetml/2009/9/main" objectType="CheckBox" fmlaLink="$C$14" lockText="1"/>
</file>

<file path=xl/ctrlProps/ctrlProp326.xml><?xml version="1.0" encoding="utf-8"?>
<formControlPr xmlns="http://schemas.microsoft.com/office/spreadsheetml/2009/9/main" objectType="CheckBox" fmlaLink="$C$15" lockText="1"/>
</file>

<file path=xl/ctrlProps/ctrlProp327.xml><?xml version="1.0" encoding="utf-8"?>
<formControlPr xmlns="http://schemas.microsoft.com/office/spreadsheetml/2009/9/main" objectType="CheckBox" fmlaLink="$C$18" lockText="1"/>
</file>

<file path=xl/ctrlProps/ctrlProp328.xml><?xml version="1.0" encoding="utf-8"?>
<formControlPr xmlns="http://schemas.microsoft.com/office/spreadsheetml/2009/9/main" objectType="CheckBox" fmlaLink="$C$20" lockText="1"/>
</file>

<file path=xl/ctrlProps/ctrlProp329.xml><?xml version="1.0" encoding="utf-8"?>
<formControlPr xmlns="http://schemas.microsoft.com/office/spreadsheetml/2009/9/main" objectType="CheckBox" fmlaLink="$C$21" lockText="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C$16" lockText="1"/>
</file>

<file path=xl/ctrlProps/ctrlProp34.xml><?xml version="1.0" encoding="utf-8"?>
<formControlPr xmlns="http://schemas.microsoft.com/office/spreadsheetml/2009/9/main" objectType="CheckBox" fmlaLink="$B$23"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25"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26" lockText="1"/>
</file>

<file path=xl/ctrlProps/ctrlProp81.xml><?xml version="1.0" encoding="utf-8"?>
<formControlPr xmlns="http://schemas.microsoft.com/office/spreadsheetml/2009/9/main" objectType="CheckBox" fmlaLink="$B$127" lockText="1"/>
</file>

<file path=xl/ctrlProps/ctrlProp82.xml><?xml version="1.0" encoding="utf-8"?>
<formControlPr xmlns="http://schemas.microsoft.com/office/spreadsheetml/2009/9/main" objectType="CheckBox" fmlaLink="$B$128" lockText="1"/>
</file>

<file path=xl/ctrlProps/ctrlProp83.xml><?xml version="1.0" encoding="utf-8"?>
<formControlPr xmlns="http://schemas.microsoft.com/office/spreadsheetml/2009/9/main" objectType="CheckBox" fmlaLink="$B$134" lockText="1"/>
</file>

<file path=xl/ctrlProps/ctrlProp84.xml><?xml version="1.0" encoding="utf-8"?>
<formControlPr xmlns="http://schemas.microsoft.com/office/spreadsheetml/2009/9/main" objectType="CheckBox" fmlaLink="$B$135" lockText="1"/>
</file>

<file path=xl/ctrlProps/ctrlProp85.xml><?xml version="1.0" encoding="utf-8"?>
<formControlPr xmlns="http://schemas.microsoft.com/office/spreadsheetml/2009/9/main" objectType="CheckBox" fmlaLink="$B$136" lockText="1"/>
</file>

<file path=xl/ctrlProps/ctrlProp86.xml><?xml version="1.0" encoding="utf-8"?>
<formControlPr xmlns="http://schemas.microsoft.com/office/spreadsheetml/2009/9/main" objectType="CheckBox" fmlaLink="$B$137" lockText="1"/>
</file>

<file path=xl/ctrlProps/ctrlProp87.xml><?xml version="1.0" encoding="utf-8"?>
<formControlPr xmlns="http://schemas.microsoft.com/office/spreadsheetml/2009/9/main" objectType="CheckBox" fmlaLink="$B$138" lockText="1"/>
</file>

<file path=xl/ctrlProps/ctrlProp88.xml><?xml version="1.0" encoding="utf-8"?>
<formControlPr xmlns="http://schemas.microsoft.com/office/spreadsheetml/2009/9/main" objectType="CheckBox" fmlaLink="$B$139" lockText="1"/>
</file>

<file path=xl/ctrlProps/ctrlProp89.xml><?xml version="1.0" encoding="utf-8"?>
<formControlPr xmlns="http://schemas.microsoft.com/office/spreadsheetml/2009/9/main" objectType="CheckBox" fmlaLink="$B$140"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41" lockText="1"/>
</file>

<file path=xl/ctrlProps/ctrlProp91.xml><?xml version="1.0" encoding="utf-8"?>
<formControlPr xmlns="http://schemas.microsoft.com/office/spreadsheetml/2009/9/main" objectType="CheckBox" fmlaLink="$B$142" lockText="1"/>
</file>

<file path=xl/ctrlProps/ctrlProp92.xml><?xml version="1.0" encoding="utf-8"?>
<formControlPr xmlns="http://schemas.microsoft.com/office/spreadsheetml/2009/9/main" objectType="CheckBox" fmlaLink="$B$148" lockText="1"/>
</file>

<file path=xl/ctrlProps/ctrlProp93.xml><?xml version="1.0" encoding="utf-8"?>
<formControlPr xmlns="http://schemas.microsoft.com/office/spreadsheetml/2009/9/main" objectType="CheckBox" fmlaLink="$B$149" lockText="1"/>
</file>

<file path=xl/ctrlProps/ctrlProp94.xml><?xml version="1.0" encoding="utf-8"?>
<formControlPr xmlns="http://schemas.microsoft.com/office/spreadsheetml/2009/9/main" objectType="CheckBox" fmlaLink="$B$150" lockText="1"/>
</file>

<file path=xl/ctrlProps/ctrlProp95.xml><?xml version="1.0" encoding="utf-8"?>
<formControlPr xmlns="http://schemas.microsoft.com/office/spreadsheetml/2009/9/main" objectType="CheckBox" fmlaLink="$B$151" lockText="1"/>
</file>

<file path=xl/ctrlProps/ctrlProp96.xml><?xml version="1.0" encoding="utf-8"?>
<formControlPr xmlns="http://schemas.microsoft.com/office/spreadsheetml/2009/9/main" objectType="CheckBox" fmlaLink="$B$152" lockText="1"/>
</file>

<file path=xl/ctrlProps/ctrlProp97.xml><?xml version="1.0" encoding="utf-8"?>
<formControlPr xmlns="http://schemas.microsoft.com/office/spreadsheetml/2009/9/main" objectType="CheckBox" fmlaLink="$B$153" lockText="1"/>
</file>

<file path=xl/ctrlProps/ctrlProp98.xml><?xml version="1.0" encoding="utf-8"?>
<formControlPr xmlns="http://schemas.microsoft.com/office/spreadsheetml/2009/9/main" objectType="CheckBox" fmlaLink="$B$154" lockText="1"/>
</file>

<file path=xl/ctrlProps/ctrlProp99.xml><?xml version="1.0" encoding="utf-8"?>
<formControlPr xmlns="http://schemas.microsoft.com/office/spreadsheetml/2009/9/main" objectType="CheckBox" fmlaLink="$B$161"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234950</xdr:rowOff>
        </xdr:to>
        <xdr:sp macro="" textlink="">
          <xdr:nvSpPr>
            <xdr:cNvPr id="56348" name="Check Box 28" hidden="1">
              <a:extLst>
                <a:ext uri="{63B3BB69-23CF-44E3-9099-C40C66FF867C}">
                  <a14:compatExt spid="_x0000_s5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485775</xdr:colOff>
          <xdr:row>30</xdr:row>
          <xdr:rowOff>114300</xdr:rowOff>
        </xdr:from>
        <xdr:to>
          <xdr:col>3</xdr:col>
          <xdr:colOff>676275</xdr:colOff>
          <xdr:row>43</xdr:row>
          <xdr:rowOff>323850</xdr:rowOff>
        </xdr:to>
        <xdr:grpSp>
          <xdr:nvGrpSpPr>
            <xdr:cNvPr id="2" name="Group 1"/>
            <xdr:cNvGrpSpPr/>
          </xdr:nvGrpSpPr>
          <xdr:grpSpPr>
            <a:xfrm>
              <a:off x="6175375" y="6711950"/>
              <a:ext cx="190512" cy="0"/>
              <a:chOff x="5914938" y="0"/>
              <a:chExt cx="914492" cy="0"/>
            </a:xfrm>
          </xdr:grpSpPr>
          <xdr:sp macro="" textlink="">
            <xdr:nvSpPr>
              <xdr:cNvPr id="56349" name="Check Box 29" hidden="1">
                <a:extLst>
                  <a:ext uri="{63B3BB69-23CF-44E3-9099-C40C66FF867C}">
                    <a14:compatExt spid="_x0000_s56349"/>
                  </a:ext>
                </a:extLst>
              </xdr:cNvPr>
              <xdr:cNvSpPr/>
            </xdr:nvSpPr>
            <xdr:spPr bwMode="auto">
              <a:xfrm>
                <a:off x="5914938"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350" name="Check Box 30" hidden="1">
                <a:extLst>
                  <a:ext uri="{63B3BB69-23CF-44E3-9099-C40C66FF867C}">
                    <a14:compatExt spid="_x0000_s56350"/>
                  </a:ext>
                </a:extLst>
              </xdr:cNvPr>
              <xdr:cNvSpPr/>
            </xdr:nvSpPr>
            <xdr:spPr bwMode="auto">
              <a:xfrm>
                <a:off x="663893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72</xdr:row>
          <xdr:rowOff>0</xdr:rowOff>
        </xdr:from>
        <xdr:to>
          <xdr:col>3</xdr:col>
          <xdr:colOff>660400</xdr:colOff>
          <xdr:row>72</xdr:row>
          <xdr:rowOff>234950</xdr:rowOff>
        </xdr:to>
        <xdr:sp macro="" textlink="">
          <xdr:nvSpPr>
            <xdr:cNvPr id="56351" name="Check Box 31" hidden="1">
              <a:extLst>
                <a:ext uri="{63B3BB69-23CF-44E3-9099-C40C66FF867C}">
                  <a14:compatExt spid="_x0000_s5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74</xdr:row>
          <xdr:rowOff>0</xdr:rowOff>
        </xdr:from>
        <xdr:to>
          <xdr:col>3</xdr:col>
          <xdr:colOff>609600</xdr:colOff>
          <xdr:row>74</xdr:row>
          <xdr:rowOff>241300</xdr:rowOff>
        </xdr:to>
        <xdr:sp macro="" textlink="">
          <xdr:nvSpPr>
            <xdr:cNvPr id="56353" name="Check Box 33" hidden="1">
              <a:extLst>
                <a:ext uri="{63B3BB69-23CF-44E3-9099-C40C66FF867C}">
                  <a14:compatExt spid="_x0000_s5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82</xdr:row>
          <xdr:rowOff>0</xdr:rowOff>
        </xdr:from>
        <xdr:to>
          <xdr:col>3</xdr:col>
          <xdr:colOff>628650</xdr:colOff>
          <xdr:row>82</xdr:row>
          <xdr:rowOff>285750</xdr:rowOff>
        </xdr:to>
        <xdr:sp macro="" textlink="">
          <xdr:nvSpPr>
            <xdr:cNvPr id="56354" name="Check Box 34" hidden="1">
              <a:extLst>
                <a:ext uri="{63B3BB69-23CF-44E3-9099-C40C66FF867C}">
                  <a14:compatExt spid="_x0000_s5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81</xdr:row>
          <xdr:rowOff>0</xdr:rowOff>
        </xdr:from>
        <xdr:to>
          <xdr:col>3</xdr:col>
          <xdr:colOff>609600</xdr:colOff>
          <xdr:row>82</xdr:row>
          <xdr:rowOff>0</xdr:rowOff>
        </xdr:to>
        <xdr:sp macro="" textlink="">
          <xdr:nvSpPr>
            <xdr:cNvPr id="56367" name="Check Box 47" hidden="1">
              <a:extLst>
                <a:ext uri="{63B3BB69-23CF-44E3-9099-C40C66FF867C}">
                  <a14:compatExt spid="_x0000_s5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81</xdr:row>
          <xdr:rowOff>0</xdr:rowOff>
        </xdr:from>
        <xdr:to>
          <xdr:col>3</xdr:col>
          <xdr:colOff>584200</xdr:colOff>
          <xdr:row>81</xdr:row>
          <xdr:rowOff>241300</xdr:rowOff>
        </xdr:to>
        <xdr:sp macro="" textlink="">
          <xdr:nvSpPr>
            <xdr:cNvPr id="56414" name="Check Box 94" hidden="1">
              <a:extLst>
                <a:ext uri="{63B3BB69-23CF-44E3-9099-C40C66FF867C}">
                  <a14:compatExt spid="_x0000_s5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577850</xdr:colOff>
          <xdr:row>7</xdr:row>
          <xdr:rowOff>222250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80</xdr:row>
          <xdr:rowOff>88900</xdr:rowOff>
        </xdr:from>
        <xdr:to>
          <xdr:col>3</xdr:col>
          <xdr:colOff>660400</xdr:colOff>
          <xdr:row>80</xdr:row>
          <xdr:rowOff>254000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64</xdr:row>
          <xdr:rowOff>57150</xdr:rowOff>
        </xdr:from>
        <xdr:to>
          <xdr:col>3</xdr:col>
          <xdr:colOff>349250</xdr:colOff>
          <xdr:row>64</xdr:row>
          <xdr:rowOff>241300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72</xdr:row>
          <xdr:rowOff>82550</xdr:rowOff>
        </xdr:from>
        <xdr:to>
          <xdr:col>3</xdr:col>
          <xdr:colOff>368300</xdr:colOff>
          <xdr:row>72</xdr:row>
          <xdr:rowOff>234950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74</xdr:row>
          <xdr:rowOff>88900</xdr:rowOff>
        </xdr:from>
        <xdr:to>
          <xdr:col>3</xdr:col>
          <xdr:colOff>609600</xdr:colOff>
          <xdr:row>74</xdr:row>
          <xdr:rowOff>241300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75</xdr:row>
          <xdr:rowOff>88900</xdr:rowOff>
        </xdr:from>
        <xdr:to>
          <xdr:col>3</xdr:col>
          <xdr:colOff>609600</xdr:colOff>
          <xdr:row>75</xdr:row>
          <xdr:rowOff>241300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76</xdr:row>
          <xdr:rowOff>88900</xdr:rowOff>
        </xdr:from>
        <xdr:to>
          <xdr:col>3</xdr:col>
          <xdr:colOff>609600</xdr:colOff>
          <xdr:row>76</xdr:row>
          <xdr:rowOff>241300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77</xdr:row>
          <xdr:rowOff>88900</xdr:rowOff>
        </xdr:from>
        <xdr:to>
          <xdr:col>3</xdr:col>
          <xdr:colOff>609600</xdr:colOff>
          <xdr:row>77</xdr:row>
          <xdr:rowOff>241300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115</xdr:row>
          <xdr:rowOff>0</xdr:rowOff>
        </xdr:from>
        <xdr:to>
          <xdr:col>1</xdr:col>
          <xdr:colOff>609600</xdr:colOff>
          <xdr:row>128</xdr:row>
          <xdr:rowOff>0</xdr:rowOff>
        </xdr:to>
        <xdr:grpSp>
          <xdr:nvGrpSpPr>
            <xdr:cNvPr id="8" name="Group 7"/>
            <xdr:cNvGrpSpPr/>
          </xdr:nvGrpSpPr>
          <xdr:grpSpPr>
            <a:xfrm>
              <a:off x="5048250" y="1781175"/>
              <a:ext cx="190500" cy="1781175"/>
              <a:chOff x="5048250" y="0"/>
              <a:chExt cx="190500" cy="1781175"/>
            </a:xfrm>
          </xdr:grpSpPr>
          <xdr:sp macro="" textlink="">
            <xdr:nvSpPr>
              <xdr:cNvPr id="45245" name="Check Box 189" hidden="1">
                <a:extLst>
                  <a:ext uri="{63B3BB69-23CF-44E3-9099-C40C66FF867C}">
                    <a14:compatExt spid="_x0000_s4524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6" name="Check Box 190" hidden="1">
                <a:extLst>
                  <a:ext uri="{63B3BB69-23CF-44E3-9099-C40C66FF867C}">
                    <a14:compatExt spid="_x0000_s4524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7" name="Check Box 191" hidden="1">
                <a:extLst>
                  <a:ext uri="{63B3BB69-23CF-44E3-9099-C40C66FF867C}">
                    <a14:compatExt spid="_x0000_s4524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8" name="Check Box 192" hidden="1">
                <a:extLst>
                  <a:ext uri="{63B3BB69-23CF-44E3-9099-C40C66FF867C}">
                    <a14:compatExt spid="_x0000_s4524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9" name="Check Box 193" hidden="1">
                <a:extLst>
                  <a:ext uri="{63B3BB69-23CF-44E3-9099-C40C66FF867C}">
                    <a14:compatExt spid="_x0000_s4524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1" name="Check Box 195" hidden="1">
                <a:extLst>
                  <a:ext uri="{63B3BB69-23CF-44E3-9099-C40C66FF867C}">
                    <a14:compatExt spid="_x0000_s4525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2" name="Check Box 196" hidden="1">
                <a:extLst>
                  <a:ext uri="{63B3BB69-23CF-44E3-9099-C40C66FF867C}">
                    <a14:compatExt spid="_x0000_s4525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3" name="Check Box 197" hidden="1">
                <a:extLst>
                  <a:ext uri="{63B3BB69-23CF-44E3-9099-C40C66FF867C}">
                    <a14:compatExt spid="_x0000_s4525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4" name="Check Box 198" hidden="1">
                <a:extLst>
                  <a:ext uri="{63B3BB69-23CF-44E3-9099-C40C66FF867C}">
                    <a14:compatExt spid="_x0000_s4525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5" name="Check Box 199" hidden="1">
                <a:extLst>
                  <a:ext uri="{63B3BB69-23CF-44E3-9099-C40C66FF867C}">
                    <a14:compatExt spid="_x0000_s4525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6" name="Check Box 200" hidden="1">
                <a:extLst>
                  <a:ext uri="{63B3BB69-23CF-44E3-9099-C40C66FF867C}">
                    <a14:compatExt spid="_x0000_s4525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7" name="Check Box 201" hidden="1">
                <a:extLst>
                  <a:ext uri="{63B3BB69-23CF-44E3-9099-C40C66FF867C}">
                    <a14:compatExt spid="_x0000_s45257"/>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1781175"/>
              <a:ext cx="190500" cy="1781175"/>
              <a:chOff x="5048250" y="0"/>
              <a:chExt cx="190500" cy="1781175"/>
            </a:xfrm>
          </xdr:grpSpPr>
          <xdr:sp macro="" textlink="">
            <xdr:nvSpPr>
              <xdr:cNvPr id="45258" name="Check Box 202" hidden="1">
                <a:extLst>
                  <a:ext uri="{63B3BB69-23CF-44E3-9099-C40C66FF867C}">
                    <a14:compatExt spid="_x0000_s4525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1781175"/>
              <a:ext cx="190500" cy="1781175"/>
              <a:chOff x="5048250" y="0"/>
              <a:chExt cx="190500" cy="1781175"/>
            </a:xfrm>
          </xdr:grpSpPr>
          <xdr:sp macro="" textlink="">
            <xdr:nvSpPr>
              <xdr:cNvPr id="45267" name="Check Box 211" hidden="1">
                <a:extLst>
                  <a:ext uri="{63B3BB69-23CF-44E3-9099-C40C66FF867C}">
                    <a14:compatExt spid="_x0000_s4526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160</xdr:row>
          <xdr:rowOff>0</xdr:rowOff>
        </xdr:from>
        <xdr:to>
          <xdr:col>1</xdr:col>
          <xdr:colOff>609600</xdr:colOff>
          <xdr:row>161</xdr:row>
          <xdr:rowOff>12700</xdr:rowOff>
        </xdr:to>
        <xdr:sp macro="" textlink="">
          <xdr:nvSpPr>
            <xdr:cNvPr id="45275" name="Check Box 219" hidden="1">
              <a:extLst>
                <a:ext uri="{63B3BB69-23CF-44E3-9099-C40C66FF867C}">
                  <a14:compatExt spid="_x0000_s4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161</xdr:row>
          <xdr:rowOff>0</xdr:rowOff>
        </xdr:from>
        <xdr:to>
          <xdr:col>1</xdr:col>
          <xdr:colOff>609600</xdr:colOff>
          <xdr:row>162</xdr:row>
          <xdr:rowOff>12700</xdr:rowOff>
        </xdr:to>
        <xdr:sp macro="" textlink="">
          <xdr:nvSpPr>
            <xdr:cNvPr id="45276" name="Check Box 220" hidden="1">
              <a:extLst>
                <a:ext uri="{63B3BB69-23CF-44E3-9099-C40C66FF867C}">
                  <a14:compatExt spid="_x0000_s4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162</xdr:row>
          <xdr:rowOff>0</xdr:rowOff>
        </xdr:from>
        <xdr:to>
          <xdr:col>1</xdr:col>
          <xdr:colOff>609600</xdr:colOff>
          <xdr:row>163</xdr:row>
          <xdr:rowOff>12700</xdr:rowOff>
        </xdr:to>
        <xdr:sp macro="" textlink="">
          <xdr:nvSpPr>
            <xdr:cNvPr id="45277" name="Check Box 221" hidden="1">
              <a:extLst>
                <a:ext uri="{63B3BB69-23CF-44E3-9099-C40C66FF867C}">
                  <a14:compatExt spid="_x0000_s4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4257675"/>
              <a:ext cx="190500" cy="4257675"/>
              <a:chOff x="5048250" y="0"/>
              <a:chExt cx="190500" cy="4257675"/>
            </a:xfrm>
          </xdr:grpSpPr>
          <xdr:sp macro="" textlink="">
            <xdr:nvSpPr>
              <xdr:cNvPr id="45282" name="Check Box 226" hidden="1">
                <a:extLst>
                  <a:ext uri="{63B3BB69-23CF-44E3-9099-C40C66FF867C}">
                    <a14:compatExt spid="_x0000_s45282"/>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4257675"/>
              <a:ext cx="190500" cy="4257675"/>
              <a:chOff x="5048250" y="0"/>
              <a:chExt cx="190500" cy="4257675"/>
            </a:xfrm>
          </xdr:grpSpPr>
          <xdr:sp macro="" textlink="">
            <xdr:nvSpPr>
              <xdr:cNvPr id="45289" name="Check Box 233" hidden="1">
                <a:extLst>
                  <a:ext uri="{63B3BB69-23CF-44E3-9099-C40C66FF867C}">
                    <a14:compatExt spid="_x0000_s45289"/>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42576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0"/>
              <a:ext cx="190500" cy="1670050"/>
              <a:chOff x="5381625" y="8782050"/>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5"/>
              <a:ext cx="304800" cy="1108075"/>
              <a:chOff x="5838825" y="2686050"/>
              <a:chExt cx="304800" cy="1114425"/>
            </a:xfrm>
          </xdr:grpSpPr>
          <xdr:sp macro="" textlink="">
            <xdr:nvSpPr>
              <xdr:cNvPr id="26625" name="Check Box 1" hidden="1">
                <a:extLst>
                  <a:ext uri="{63B3BB69-23CF-44E3-9099-C40C66FF867C}">
                    <a14:compatExt spid="_x0000_s26625"/>
                  </a:ext>
                </a:extLst>
              </xdr:cNvPr>
              <xdr:cNvSpPr/>
            </xdr:nvSpPr>
            <xdr:spPr bwMode="auto">
              <a:xfrm>
                <a:off x="5857875" y="2686050"/>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40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900"/>
              <a:ext cx="295275" cy="3327400"/>
              <a:chOff x="5314950" y="12144375"/>
              <a:chExt cx="295275" cy="3371850"/>
            </a:xfrm>
          </xdr:grpSpPr>
          <xdr:sp macro="" textlink="">
            <xdr:nvSpPr>
              <xdr:cNvPr id="35905" name="Check Box 65" hidden="1">
                <a:extLst>
                  <a:ext uri="{63B3BB69-23CF-44E3-9099-C40C66FF867C}">
                    <a14:compatExt spid="_x0000_s35905"/>
                  </a:ext>
                </a:extLst>
              </xdr:cNvPr>
              <xdr:cNvSpPr/>
            </xdr:nvSpPr>
            <xdr:spPr bwMode="auto">
              <a:xfrm>
                <a:off x="5353050" y="15316200"/>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7.xml"/><Relationship Id="rId13" Type="http://schemas.openxmlformats.org/officeDocument/2006/relationships/ctrlProp" Target="../ctrlProps/ctrlProp312.xml"/><Relationship Id="rId18" Type="http://schemas.openxmlformats.org/officeDocument/2006/relationships/ctrlProp" Target="../ctrlProps/ctrlProp317.xml"/><Relationship Id="rId3" Type="http://schemas.openxmlformats.org/officeDocument/2006/relationships/vmlDrawing" Target="../drawings/vmlDrawing9.vml"/><Relationship Id="rId21" Type="http://schemas.openxmlformats.org/officeDocument/2006/relationships/ctrlProp" Target="../ctrlProps/ctrlProp320.xml"/><Relationship Id="rId7" Type="http://schemas.openxmlformats.org/officeDocument/2006/relationships/ctrlProp" Target="../ctrlProps/ctrlProp306.xml"/><Relationship Id="rId12" Type="http://schemas.openxmlformats.org/officeDocument/2006/relationships/ctrlProp" Target="../ctrlProps/ctrlProp311.xml"/><Relationship Id="rId17" Type="http://schemas.openxmlformats.org/officeDocument/2006/relationships/ctrlProp" Target="../ctrlProps/ctrlProp316.xml"/><Relationship Id="rId2" Type="http://schemas.openxmlformats.org/officeDocument/2006/relationships/drawing" Target="../drawings/drawing10.xml"/><Relationship Id="rId16" Type="http://schemas.openxmlformats.org/officeDocument/2006/relationships/ctrlProp" Target="../ctrlProps/ctrlProp315.xml"/><Relationship Id="rId20" Type="http://schemas.openxmlformats.org/officeDocument/2006/relationships/ctrlProp" Target="../ctrlProps/ctrlProp319.xml"/><Relationship Id="rId1" Type="http://schemas.openxmlformats.org/officeDocument/2006/relationships/printerSettings" Target="../printerSettings/printerSettings12.bin"/><Relationship Id="rId6" Type="http://schemas.openxmlformats.org/officeDocument/2006/relationships/ctrlProp" Target="../ctrlProps/ctrlProp305.xml"/><Relationship Id="rId11" Type="http://schemas.openxmlformats.org/officeDocument/2006/relationships/ctrlProp" Target="../ctrlProps/ctrlProp310.xml"/><Relationship Id="rId5" Type="http://schemas.openxmlformats.org/officeDocument/2006/relationships/ctrlProp" Target="../ctrlProps/ctrlProp304.xml"/><Relationship Id="rId15" Type="http://schemas.openxmlformats.org/officeDocument/2006/relationships/ctrlProp" Target="../ctrlProps/ctrlProp314.xml"/><Relationship Id="rId10" Type="http://schemas.openxmlformats.org/officeDocument/2006/relationships/ctrlProp" Target="../ctrlProps/ctrlProp309.xml"/><Relationship Id="rId19" Type="http://schemas.openxmlformats.org/officeDocument/2006/relationships/ctrlProp" Target="../ctrlProps/ctrlProp318.xml"/><Relationship Id="rId4" Type="http://schemas.openxmlformats.org/officeDocument/2006/relationships/ctrlProp" Target="../ctrlProps/ctrlProp303.xml"/><Relationship Id="rId9" Type="http://schemas.openxmlformats.org/officeDocument/2006/relationships/ctrlProp" Target="../ctrlProps/ctrlProp308.xml"/><Relationship Id="rId14" Type="http://schemas.openxmlformats.org/officeDocument/2006/relationships/ctrlProp" Target="../ctrlProps/ctrlProp313.xml"/><Relationship Id="rId22" Type="http://schemas.openxmlformats.org/officeDocument/2006/relationships/ctrlProp" Target="../ctrlProps/ctrlProp32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26.xml"/><Relationship Id="rId3" Type="http://schemas.openxmlformats.org/officeDocument/2006/relationships/vmlDrawing" Target="../drawings/vmlDrawing10.vml"/><Relationship Id="rId7" Type="http://schemas.openxmlformats.org/officeDocument/2006/relationships/ctrlProp" Target="../ctrlProps/ctrlProp325.xml"/><Relationship Id="rId12" Type="http://schemas.openxmlformats.org/officeDocument/2006/relationships/ctrlProp" Target="../ctrlProps/ctrlProp330.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24.xml"/><Relationship Id="rId11" Type="http://schemas.openxmlformats.org/officeDocument/2006/relationships/ctrlProp" Target="../ctrlProps/ctrlProp329.xml"/><Relationship Id="rId5" Type="http://schemas.openxmlformats.org/officeDocument/2006/relationships/ctrlProp" Target="../ctrlProps/ctrlProp323.xml"/><Relationship Id="rId10" Type="http://schemas.openxmlformats.org/officeDocument/2006/relationships/ctrlProp" Target="../ctrlProps/ctrlProp328.xml"/><Relationship Id="rId4" Type="http://schemas.openxmlformats.org/officeDocument/2006/relationships/ctrlProp" Target="../ctrlProps/ctrlProp322.xml"/><Relationship Id="rId9" Type="http://schemas.openxmlformats.org/officeDocument/2006/relationships/ctrlProp" Target="../ctrlProps/ctrlProp3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topLeftCell="A22" zoomScaleNormal="100" zoomScaleSheetLayoutView="100" workbookViewId="0">
      <selection activeCell="B28" sqref="B28"/>
    </sheetView>
  </sheetViews>
  <sheetFormatPr defaultRowHeight="14.5" x14ac:dyDescent="0.35"/>
  <cols>
    <col min="1" max="1" width="99.453125" style="44" customWidth="1"/>
    <col min="2" max="2" width="55.453125" customWidth="1"/>
  </cols>
  <sheetData>
    <row r="1" spans="1:2" ht="21.75" customHeight="1" x14ac:dyDescent="0.35">
      <c r="A1" s="43" t="s">
        <v>473</v>
      </c>
      <c r="B1" s="409" t="s">
        <v>412</v>
      </c>
    </row>
    <row r="2" spans="1:2" s="6" customFormat="1" ht="112.5" customHeight="1" x14ac:dyDescent="0.35">
      <c r="A2" s="477" t="s">
        <v>464</v>
      </c>
      <c r="B2" s="410" t="str">
        <f>ship_type</f>
        <v>SSBN/SSGN</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205</v>
      </c>
    </row>
    <row r="15" spans="1:2" ht="15.5" x14ac:dyDescent="0.35">
      <c r="A15" s="46" t="s">
        <v>206</v>
      </c>
    </row>
    <row r="16" spans="1:2" ht="15.5" x14ac:dyDescent="0.35">
      <c r="A16" s="47" t="s">
        <v>41</v>
      </c>
    </row>
    <row r="17" spans="1:1" ht="25.5" customHeight="1" x14ac:dyDescent="0.35">
      <c r="A17" s="55" t="s">
        <v>42</v>
      </c>
    </row>
    <row r="18" spans="1:1" ht="30.75" customHeight="1" x14ac:dyDescent="0.35">
      <c r="A18" s="480" t="s">
        <v>207</v>
      </c>
    </row>
    <row r="19" spans="1:1" ht="124.5" customHeight="1" x14ac:dyDescent="0.35">
      <c r="A19" s="411" t="s">
        <v>439</v>
      </c>
    </row>
    <row r="20" spans="1:1" ht="19.5" customHeight="1" x14ac:dyDescent="0.35">
      <c r="A20" s="56" t="s">
        <v>208</v>
      </c>
    </row>
    <row r="21" spans="1:1" ht="69" customHeight="1" x14ac:dyDescent="0.35">
      <c r="A21" s="477" t="s">
        <v>209</v>
      </c>
    </row>
    <row r="22" spans="1:1" ht="19.5" customHeight="1" x14ac:dyDescent="0.35">
      <c r="A22" s="198" t="s">
        <v>210</v>
      </c>
    </row>
    <row r="23" spans="1:1" ht="162.75" customHeight="1" x14ac:dyDescent="0.35">
      <c r="A23" s="477" t="s">
        <v>461</v>
      </c>
    </row>
    <row r="71" spans="1:2" x14ac:dyDescent="0.35">
      <c r="A71" s="404">
        <v>11</v>
      </c>
      <c r="B71" s="405" t="str">
        <f>VLOOKUP(shiptypenum,shiptbl,2,FALSE)</f>
        <v>SSBN/SSGN</v>
      </c>
    </row>
    <row r="72" spans="1:2" x14ac:dyDescent="0.35">
      <c r="A72" s="404"/>
      <c r="B72" s="405"/>
    </row>
    <row r="73" spans="1:2" x14ac:dyDescent="0.35">
      <c r="A73" s="404"/>
      <c r="B73" s="405"/>
    </row>
    <row r="74" spans="1:2" x14ac:dyDescent="0.35">
      <c r="A74" s="406">
        <v>1</v>
      </c>
      <c r="B74" s="405" t="s">
        <v>77</v>
      </c>
    </row>
    <row r="75" spans="1:2" x14ac:dyDescent="0.35">
      <c r="A75" s="406">
        <v>2</v>
      </c>
      <c r="B75" s="405" t="s">
        <v>389</v>
      </c>
    </row>
    <row r="76" spans="1:2" x14ac:dyDescent="0.35">
      <c r="A76" s="406">
        <v>3</v>
      </c>
      <c r="B76" s="405" t="s">
        <v>184</v>
      </c>
    </row>
    <row r="77" spans="1:2" x14ac:dyDescent="0.35">
      <c r="A77" s="406">
        <v>4</v>
      </c>
      <c r="B77" s="405" t="s">
        <v>183</v>
      </c>
    </row>
    <row r="78" spans="1:2" x14ac:dyDescent="0.35">
      <c r="A78" s="406">
        <v>5</v>
      </c>
      <c r="B78" s="405" t="s">
        <v>94</v>
      </c>
    </row>
    <row r="79" spans="1:2" x14ac:dyDescent="0.35">
      <c r="A79" s="406">
        <v>6</v>
      </c>
      <c r="B79" s="405" t="s">
        <v>385</v>
      </c>
    </row>
    <row r="80" spans="1:2" x14ac:dyDescent="0.35">
      <c r="A80" s="406">
        <v>7</v>
      </c>
      <c r="B80" s="405" t="s">
        <v>182</v>
      </c>
    </row>
    <row r="81" spans="1:2" x14ac:dyDescent="0.35">
      <c r="A81" s="406">
        <v>8</v>
      </c>
      <c r="B81" s="405" t="s">
        <v>371</v>
      </c>
    </row>
    <row r="82" spans="1:2" x14ac:dyDescent="0.35">
      <c r="A82" s="406">
        <v>9</v>
      </c>
      <c r="B82" s="405" t="s">
        <v>181</v>
      </c>
    </row>
    <row r="83" spans="1:2" x14ac:dyDescent="0.35">
      <c r="A83" s="406">
        <v>10</v>
      </c>
      <c r="B83" s="405" t="s">
        <v>86</v>
      </c>
    </row>
    <row r="84" spans="1:2" x14ac:dyDescent="0.35">
      <c r="A84" s="406">
        <v>11</v>
      </c>
      <c r="B84" s="405" t="s">
        <v>372</v>
      </c>
    </row>
    <row r="85" spans="1:2" x14ac:dyDescent="0.35">
      <c r="A85" s="406">
        <v>12</v>
      </c>
      <c r="B85" s="405" t="s">
        <v>88</v>
      </c>
    </row>
    <row r="86" spans="1:2" x14ac:dyDescent="0.35">
      <c r="A86" s="406">
        <v>13</v>
      </c>
      <c r="B86" s="405" t="s">
        <v>423</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G7" sqref="G7:G61"/>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180</v>
      </c>
      <c r="B1" s="163"/>
      <c r="C1" s="164"/>
      <c r="D1" s="162"/>
      <c r="G1" s="372" t="s">
        <v>412</v>
      </c>
    </row>
    <row r="2" spans="1:10" x14ac:dyDescent="0.35">
      <c r="A2" s="162"/>
      <c r="B2" s="163"/>
      <c r="C2" s="164"/>
      <c r="D2" s="162"/>
      <c r="G2" s="373" t="str">
        <f>VLOOKUP(shiptypenum,shiptbl,2,FALSE)</f>
        <v>SSBN/SSGN</v>
      </c>
    </row>
    <row r="3" spans="1:10" x14ac:dyDescent="0.35">
      <c r="A3" s="598" t="s">
        <v>44</v>
      </c>
      <c r="B3" s="598"/>
      <c r="C3" s="166"/>
      <c r="D3" s="162"/>
      <c r="E3" s="165"/>
      <c r="G3" s="186"/>
    </row>
    <row r="4" spans="1:10" s="20" customFormat="1" ht="33.75" customHeight="1" x14ac:dyDescent="0.35">
      <c r="A4" s="576" t="s">
        <v>484</v>
      </c>
      <c r="B4" s="576"/>
      <c r="C4" s="576"/>
      <c r="D4" s="272"/>
      <c r="E4" s="254"/>
      <c r="G4" s="182"/>
    </row>
    <row r="5" spans="1:10" s="20" customFormat="1" ht="33.75" customHeight="1" x14ac:dyDescent="0.35">
      <c r="A5" s="576" t="s">
        <v>485</v>
      </c>
      <c r="B5" s="576"/>
      <c r="C5" s="576"/>
      <c r="D5" s="245"/>
      <c r="E5" s="254"/>
      <c r="G5" s="182"/>
    </row>
    <row r="6" spans="1:10" ht="22.5" customHeight="1" thickBot="1" x14ac:dyDescent="0.4">
      <c r="A6" s="167"/>
      <c r="B6" s="58"/>
      <c r="C6" s="166"/>
      <c r="D6" s="168"/>
      <c r="E6" s="165"/>
    </row>
    <row r="7" spans="1:10" ht="94.5" customHeight="1" thickTop="1" thickBot="1" x14ac:dyDescent="0.4">
      <c r="A7" s="277" t="s">
        <v>171</v>
      </c>
      <c r="B7" s="601" t="s">
        <v>279</v>
      </c>
      <c r="C7" s="602"/>
      <c r="D7" s="463" t="s">
        <v>26</v>
      </c>
      <c r="E7" s="561" t="s">
        <v>24</v>
      </c>
      <c r="F7" s="184" t="s">
        <v>25</v>
      </c>
      <c r="G7" s="318"/>
    </row>
    <row r="8" spans="1:10" ht="66.75" customHeight="1" thickTop="1" thickBot="1" x14ac:dyDescent="0.4">
      <c r="A8" s="267"/>
      <c r="B8" s="586" t="s">
        <v>463</v>
      </c>
      <c r="C8" s="611"/>
      <c r="D8" s="455" t="s">
        <v>261</v>
      </c>
      <c r="E8" s="165"/>
      <c r="G8" s="318"/>
    </row>
    <row r="9" spans="1:10" x14ac:dyDescent="0.35">
      <c r="A9" s="160" t="s">
        <v>425</v>
      </c>
      <c r="B9" s="278" t="s">
        <v>165</v>
      </c>
      <c r="C9" s="361">
        <f>VLOOKUP(ship_type,fitbestunderway,2,FALSE)</f>
        <v>3</v>
      </c>
      <c r="D9" s="265" t="b">
        <v>0</v>
      </c>
      <c r="E9" s="81">
        <v>10</v>
      </c>
      <c r="F9" s="184">
        <f>IF(D9,IF(9="-",0,E9),0)</f>
        <v>0</v>
      </c>
      <c r="G9" s="318"/>
      <c r="I9">
        <f>IF(D9,1,0)</f>
        <v>0</v>
      </c>
    </row>
    <row r="10" spans="1:10" ht="15.75" customHeight="1" x14ac:dyDescent="0.35">
      <c r="A10" s="160"/>
      <c r="B10" s="274"/>
      <c r="C10" s="361">
        <f>VLOOKUP(ship_type,fitbetterunderway,2,FALSE)</f>
        <v>2</v>
      </c>
      <c r="D10" s="265" t="b">
        <v>0</v>
      </c>
      <c r="E10" s="81">
        <f>0.85*E9</f>
        <v>8.5</v>
      </c>
      <c r="F10" s="184">
        <f t="shared" ref="F10:F20" si="0">IF(D10,IF(9="-",0,E10),0)</f>
        <v>0</v>
      </c>
      <c r="G10" s="318"/>
      <c r="H10" t="str">
        <f>IF(J11&gt;1,"Entry error, select one answer","")</f>
        <v/>
      </c>
      <c r="I10">
        <f t="shared" ref="I10:I20" si="1">IF(D10,1,0)</f>
        <v>0</v>
      </c>
    </row>
    <row r="11" spans="1:10" ht="15.75" customHeight="1" x14ac:dyDescent="0.35">
      <c r="A11" s="160"/>
      <c r="B11" s="279"/>
      <c r="C11" s="362">
        <f>VLOOKUP(ship_type,fitgoodunderway,2,FALSE)</f>
        <v>1</v>
      </c>
      <c r="D11" s="265" t="b">
        <v>0</v>
      </c>
      <c r="E11" s="81">
        <f>E9*0.75</f>
        <v>7.5</v>
      </c>
      <c r="F11" s="184">
        <f t="shared" si="0"/>
        <v>0</v>
      </c>
      <c r="G11" s="318"/>
      <c r="I11">
        <f t="shared" si="1"/>
        <v>0</v>
      </c>
      <c r="J11">
        <f>SUM(I9:I11)</f>
        <v>0</v>
      </c>
    </row>
    <row r="12" spans="1:10" ht="15.75" customHeight="1" x14ac:dyDescent="0.35">
      <c r="A12" s="160" t="s">
        <v>426</v>
      </c>
      <c r="B12" s="278" t="s">
        <v>166</v>
      </c>
      <c r="C12" s="363">
        <f>VLOOKUP(ship_type,fitbestunderway,3,FALSE)</f>
        <v>1</v>
      </c>
      <c r="D12" s="265" t="b">
        <v>0</v>
      </c>
      <c r="E12" s="81">
        <v>10</v>
      </c>
      <c r="F12" s="184">
        <f t="shared" si="0"/>
        <v>0</v>
      </c>
      <c r="G12" s="318"/>
      <c r="I12">
        <f>IF(D12,1,0)</f>
        <v>0</v>
      </c>
    </row>
    <row r="13" spans="1:10" ht="15.75" customHeight="1" x14ac:dyDescent="0.35">
      <c r="A13" s="169"/>
      <c r="B13" s="172"/>
      <c r="C13" s="363" t="str">
        <f>VLOOKUP(ship_type,fitbetterunderway,3,FALSE)</f>
        <v>-</v>
      </c>
      <c r="D13" s="265" t="b">
        <v>0</v>
      </c>
      <c r="E13" s="81">
        <f t="shared" ref="E13" si="2">0.85*E12</f>
        <v>8.5</v>
      </c>
      <c r="F13" s="184">
        <f t="shared" si="0"/>
        <v>0</v>
      </c>
      <c r="G13" s="318"/>
      <c r="H13" t="str">
        <f>IF(J14&gt;1,"Entry error, select one answer","")</f>
        <v/>
      </c>
      <c r="I13">
        <f t="shared" si="1"/>
        <v>0</v>
      </c>
    </row>
    <row r="14" spans="1:10" ht="15.75" customHeight="1" x14ac:dyDescent="0.35">
      <c r="A14" s="169"/>
      <c r="B14" s="246"/>
      <c r="C14" s="362" t="str">
        <f>VLOOKUP(ship_type,fitgoodunderway,3,FALSE)</f>
        <v>-</v>
      </c>
      <c r="D14" s="265" t="b">
        <v>0</v>
      </c>
      <c r="E14" s="81">
        <f t="shared" ref="E14" si="3">E12*0.75</f>
        <v>7.5</v>
      </c>
      <c r="F14" s="184">
        <f t="shared" si="0"/>
        <v>0</v>
      </c>
      <c r="G14" s="318"/>
      <c r="I14">
        <f t="shared" si="1"/>
        <v>0</v>
      </c>
      <c r="J14">
        <f>SUM(I12:I14)</f>
        <v>0</v>
      </c>
    </row>
    <row r="15" spans="1:10" ht="15.75" customHeight="1" x14ac:dyDescent="0.35">
      <c r="A15" s="160" t="s">
        <v>427</v>
      </c>
      <c r="B15" s="278" t="s">
        <v>97</v>
      </c>
      <c r="C15" s="363">
        <f>VLOOKUP(ship_type,fitbestunderway,4,FALSE)</f>
        <v>4</v>
      </c>
      <c r="D15" s="265" t="b">
        <v>0</v>
      </c>
      <c r="E15" s="81">
        <v>10</v>
      </c>
      <c r="F15" s="184">
        <f t="shared" si="0"/>
        <v>0</v>
      </c>
      <c r="G15" s="318"/>
      <c r="I15">
        <f>IF(D15,1,0)</f>
        <v>0</v>
      </c>
    </row>
    <row r="16" spans="1:10" ht="15.75" customHeight="1" x14ac:dyDescent="0.35">
      <c r="A16" s="169"/>
      <c r="B16" s="172"/>
      <c r="C16" s="363">
        <f>VLOOKUP(ship_type,fitbetterunderway,4,FALSE)</f>
        <v>2</v>
      </c>
      <c r="D16" s="265" t="b">
        <v>0</v>
      </c>
      <c r="E16" s="81">
        <f t="shared" ref="E16" si="4">0.85*E15</f>
        <v>8.5</v>
      </c>
      <c r="F16" s="184">
        <f t="shared" si="0"/>
        <v>0</v>
      </c>
      <c r="G16" s="318"/>
      <c r="H16" t="str">
        <f>IF(J17&gt;1,"Entry error, select one answer","")</f>
        <v/>
      </c>
      <c r="I16">
        <f t="shared" si="1"/>
        <v>0</v>
      </c>
    </row>
    <row r="17" spans="1:18" ht="15.75" customHeight="1" x14ac:dyDescent="0.35">
      <c r="A17" s="169"/>
      <c r="B17" s="246"/>
      <c r="C17" s="362">
        <f>VLOOKUP(ship_type,fitgoodunderway,4,FALSE)</f>
        <v>1</v>
      </c>
      <c r="D17" s="265" t="b">
        <v>0</v>
      </c>
      <c r="E17" s="81">
        <f t="shared" ref="E17" si="5">E15*0.75</f>
        <v>7.5</v>
      </c>
      <c r="F17" s="184">
        <f t="shared" si="0"/>
        <v>0</v>
      </c>
      <c r="G17" s="318"/>
      <c r="I17">
        <f t="shared" si="1"/>
        <v>0</v>
      </c>
      <c r="J17">
        <f>SUM(I15:I17)</f>
        <v>0</v>
      </c>
    </row>
    <row r="18" spans="1:18" ht="15.75" customHeight="1" x14ac:dyDescent="0.35">
      <c r="A18" s="160" t="s">
        <v>428</v>
      </c>
      <c r="B18" s="278" t="s">
        <v>79</v>
      </c>
      <c r="C18" s="363">
        <f>VLOOKUP(ship_type,fitbestunderway,5,FALSE)</f>
        <v>30</v>
      </c>
      <c r="D18" s="265" t="b">
        <v>0</v>
      </c>
      <c r="E18" s="81">
        <v>10</v>
      </c>
      <c r="F18" s="184">
        <f t="shared" si="0"/>
        <v>0</v>
      </c>
      <c r="G18" s="318"/>
      <c r="I18">
        <f>IF(D18,1,0)</f>
        <v>0</v>
      </c>
    </row>
    <row r="19" spans="1:18" ht="15.75" customHeight="1" x14ac:dyDescent="0.35">
      <c r="A19" s="267"/>
      <c r="B19" s="275"/>
      <c r="C19" s="361">
        <f>VLOOKUP(ship_type,fitbetterunderway,5,FALSE)</f>
        <v>25</v>
      </c>
      <c r="D19" s="265" t="b">
        <v>0</v>
      </c>
      <c r="E19" s="81">
        <f t="shared" ref="E19" si="6">0.85*E18</f>
        <v>8.5</v>
      </c>
      <c r="F19" s="184">
        <f t="shared" si="0"/>
        <v>0</v>
      </c>
      <c r="G19" s="318"/>
      <c r="H19" t="str">
        <f>IF(J20&gt;1,"Entry error, select one answer","")</f>
        <v/>
      </c>
      <c r="I19">
        <f t="shared" si="1"/>
        <v>0</v>
      </c>
    </row>
    <row r="20" spans="1:18" ht="15.75" customHeight="1" thickBot="1" x14ac:dyDescent="0.4">
      <c r="A20" s="267"/>
      <c r="B20" s="246"/>
      <c r="C20" s="362">
        <f>VLOOKUP(ship_type,fitgoodunderway,5,FALSE)</f>
        <v>20</v>
      </c>
      <c r="D20" s="265" t="b">
        <v>0</v>
      </c>
      <c r="E20" s="81">
        <f t="shared" ref="E20" si="7">E18*0.75</f>
        <v>7.5</v>
      </c>
      <c r="F20" s="184">
        <f t="shared" si="0"/>
        <v>0</v>
      </c>
      <c r="G20" s="318"/>
      <c r="I20">
        <f t="shared" si="1"/>
        <v>0</v>
      </c>
      <c r="J20">
        <f>SUM(I18:I20)</f>
        <v>0</v>
      </c>
    </row>
    <row r="21" spans="1:18" ht="17.25" customHeight="1" thickTop="1" thickBot="1" x14ac:dyDescent="0.4">
      <c r="A21" s="391"/>
      <c r="B21" s="392"/>
      <c r="C21" s="392"/>
      <c r="D21" s="393"/>
      <c r="E21" s="81"/>
      <c r="G21" s="481"/>
      <c r="H21" s="174"/>
      <c r="I21" s="229"/>
      <c r="J21" s="229"/>
      <c r="K21" s="174"/>
      <c r="L21" s="174"/>
      <c r="M21" s="174"/>
      <c r="N21" s="174"/>
      <c r="O21" s="174"/>
      <c r="P21" s="174"/>
      <c r="Q21" s="174"/>
      <c r="R21" s="174"/>
    </row>
    <row r="22" spans="1:18" ht="22.5" customHeight="1" thickBot="1" x14ac:dyDescent="0.4">
      <c r="A22" s="160"/>
      <c r="B22" s="604" t="s">
        <v>269</v>
      </c>
      <c r="C22" s="604"/>
      <c r="D22" s="252">
        <f>F22/E22</f>
        <v>0</v>
      </c>
      <c r="E22" s="81">
        <f>IF(shiptypenum&lt;5,SUM(#REF!+E18+E15+E12+E9),SUM(E18+E15+E12+E9))</f>
        <v>40</v>
      </c>
      <c r="F22" s="184">
        <f>SUM(F9:F20)</f>
        <v>0</v>
      </c>
      <c r="G22" s="481"/>
      <c r="H22" s="174"/>
      <c r="I22" s="229"/>
      <c r="J22" s="229"/>
      <c r="K22" s="174"/>
      <c r="L22" s="174"/>
      <c r="M22" s="174"/>
      <c r="N22" s="174"/>
      <c r="O22" s="174"/>
      <c r="P22" s="174"/>
      <c r="Q22" s="174"/>
      <c r="R22" s="174"/>
    </row>
    <row r="23" spans="1:18" ht="22.5" customHeight="1" thickBot="1" x14ac:dyDescent="0.4">
      <c r="A23" s="160"/>
      <c r="B23" s="268"/>
      <c r="C23" s="268"/>
      <c r="D23" s="276"/>
      <c r="E23" s="25"/>
      <c r="G23" s="481"/>
      <c r="H23" s="174"/>
      <c r="I23" s="229"/>
      <c r="J23" s="229"/>
      <c r="K23" s="174"/>
      <c r="L23" s="174"/>
      <c r="M23" s="174"/>
      <c r="N23" s="174"/>
      <c r="O23" s="174"/>
      <c r="P23" s="174"/>
      <c r="Q23" s="174"/>
      <c r="R23" s="174"/>
    </row>
    <row r="24" spans="1:18" ht="94.5" customHeight="1" thickTop="1" thickBot="1" x14ac:dyDescent="0.4">
      <c r="A24" s="257" t="s">
        <v>172</v>
      </c>
      <c r="B24" s="601" t="s">
        <v>280</v>
      </c>
      <c r="C24" s="602"/>
      <c r="D24" s="463" t="s">
        <v>26</v>
      </c>
      <c r="E24" s="561" t="s">
        <v>24</v>
      </c>
      <c r="F24" s="184" t="s">
        <v>25</v>
      </c>
      <c r="G24" s="318"/>
    </row>
    <row r="25" spans="1:18" ht="82.5" customHeight="1" thickTop="1" thickBot="1" x14ac:dyDescent="0.4">
      <c r="A25" s="267"/>
      <c r="B25" s="586" t="s">
        <v>463</v>
      </c>
      <c r="C25" s="611"/>
      <c r="D25" s="455" t="s">
        <v>261</v>
      </c>
      <c r="E25" s="165"/>
      <c r="G25" s="467"/>
    </row>
    <row r="26" spans="1:18" x14ac:dyDescent="0.35">
      <c r="A26" s="160" t="s">
        <v>429</v>
      </c>
      <c r="B26" s="195" t="s">
        <v>165</v>
      </c>
      <c r="C26" s="361">
        <f>VLOOKUP(ship_type,fitbesthomeport,2,FALSE)</f>
        <v>3</v>
      </c>
      <c r="D26" s="265" t="b">
        <v>0</v>
      </c>
      <c r="E26" s="81">
        <v>10</v>
      </c>
      <c r="F26" s="184">
        <f>IF(D26,IF(C26="-",0,E26),0)</f>
        <v>0</v>
      </c>
      <c r="G26" s="318"/>
      <c r="I26">
        <f>IF(D26,1,0)</f>
        <v>0</v>
      </c>
    </row>
    <row r="27" spans="1:18" ht="15.75" customHeight="1" x14ac:dyDescent="0.35">
      <c r="A27" s="160"/>
      <c r="B27" s="58"/>
      <c r="C27" s="361">
        <f>VLOOKUP(ship_type,fitbetterhomeport,2,FALSE)</f>
        <v>2</v>
      </c>
      <c r="D27" s="265" t="b">
        <v>0</v>
      </c>
      <c r="E27" s="81">
        <f>0.85*E26</f>
        <v>8.5</v>
      </c>
      <c r="F27" s="184">
        <f t="shared" ref="F27:F40" si="8">IF(D27,IF(C27="-",0,E27),0)</f>
        <v>0</v>
      </c>
      <c r="G27" s="318"/>
      <c r="H27" t="str">
        <f>IF(J28&gt;1,"Entry error, select one answer","")</f>
        <v/>
      </c>
      <c r="I27">
        <f t="shared" ref="I27:I28" si="9">IF(D27,1,0)</f>
        <v>0</v>
      </c>
    </row>
    <row r="28" spans="1:18" ht="15.75" customHeight="1" x14ac:dyDescent="0.35">
      <c r="A28" s="160"/>
      <c r="B28" s="256"/>
      <c r="C28" s="362">
        <f>VLOOKUP(ship_type,fitgoodhomeport,2,FALSE)</f>
        <v>1</v>
      </c>
      <c r="D28" s="265" t="b">
        <v>0</v>
      </c>
      <c r="E28" s="81">
        <f>E26*0.75</f>
        <v>7.5</v>
      </c>
      <c r="F28" s="184">
        <f t="shared" si="8"/>
        <v>0</v>
      </c>
      <c r="G28" s="318"/>
      <c r="I28">
        <f t="shared" si="9"/>
        <v>0</v>
      </c>
      <c r="J28">
        <f>SUM(I26:I28)</f>
        <v>0</v>
      </c>
    </row>
    <row r="29" spans="1:18" ht="15.75" customHeight="1" x14ac:dyDescent="0.35">
      <c r="A29" s="160" t="s">
        <v>430</v>
      </c>
      <c r="B29" s="195" t="s">
        <v>166</v>
      </c>
      <c r="C29" s="363">
        <f>VLOOKUP(ship_type,fitbesthomeport,3,FALSE)</f>
        <v>1</v>
      </c>
      <c r="D29" s="265" t="b">
        <v>0</v>
      </c>
      <c r="E29" s="81">
        <v>10</v>
      </c>
      <c r="F29" s="184">
        <f t="shared" si="8"/>
        <v>0</v>
      </c>
      <c r="G29" s="318"/>
      <c r="I29">
        <f>IF(D29,1,0)</f>
        <v>0</v>
      </c>
    </row>
    <row r="30" spans="1:18" ht="15.75" customHeight="1" x14ac:dyDescent="0.35">
      <c r="A30" s="169"/>
      <c r="B30" s="172"/>
      <c r="C30" s="363" t="str">
        <f>VLOOKUP(ship_type,fitbetterhomeport,3,FALSE)</f>
        <v>-</v>
      </c>
      <c r="D30" s="265" t="b">
        <v>0</v>
      </c>
      <c r="E30" s="81">
        <f t="shared" ref="E30" si="10">0.85*E29</f>
        <v>8.5</v>
      </c>
      <c r="F30" s="184">
        <f t="shared" si="8"/>
        <v>0</v>
      </c>
      <c r="G30" s="318"/>
      <c r="H30" t="str">
        <f>IF(J31&gt;1,"Entry error, select one answer","")</f>
        <v/>
      </c>
      <c r="I30">
        <f t="shared" ref="I30:I31" si="11">IF(D30,1,0)</f>
        <v>0</v>
      </c>
    </row>
    <row r="31" spans="1:18" ht="15.75" customHeight="1" x14ac:dyDescent="0.35">
      <c r="A31" s="169"/>
      <c r="B31" s="246"/>
      <c r="C31" s="362" t="str">
        <f>VLOOKUP(ship_type,fitgoodhomeport,3,FALSE)</f>
        <v>-</v>
      </c>
      <c r="D31" s="265" t="b">
        <v>0</v>
      </c>
      <c r="E31" s="81">
        <f t="shared" ref="E31" si="12">E29*0.75</f>
        <v>7.5</v>
      </c>
      <c r="F31" s="184">
        <f t="shared" si="8"/>
        <v>0</v>
      </c>
      <c r="G31" s="318"/>
      <c r="I31">
        <f t="shared" si="11"/>
        <v>0</v>
      </c>
      <c r="J31">
        <f>SUM(I29:I31)</f>
        <v>0</v>
      </c>
    </row>
    <row r="32" spans="1:18" ht="15.75" customHeight="1" x14ac:dyDescent="0.35">
      <c r="A32" s="160" t="s">
        <v>431</v>
      </c>
      <c r="B32" s="195" t="s">
        <v>97</v>
      </c>
      <c r="C32" s="363">
        <f>VLOOKUP(ship_type,fitbesthomeport,4,FALSE)</f>
        <v>4</v>
      </c>
      <c r="D32" s="265" t="b">
        <v>0</v>
      </c>
      <c r="E32" s="81">
        <v>10</v>
      </c>
      <c r="F32" s="184">
        <f t="shared" si="8"/>
        <v>0</v>
      </c>
      <c r="G32" s="318"/>
      <c r="I32">
        <f>IF(D32,1,0)</f>
        <v>0</v>
      </c>
    </row>
    <row r="33" spans="1:18" ht="15.75" customHeight="1" x14ac:dyDescent="0.35">
      <c r="A33" s="169"/>
      <c r="B33" s="170"/>
      <c r="C33" s="363">
        <f>VLOOKUP(ship_type,fitbetterhomeport,4,FALSE)</f>
        <v>2</v>
      </c>
      <c r="D33" s="265" t="b">
        <v>0</v>
      </c>
      <c r="E33" s="81">
        <f t="shared" ref="E33" si="13">0.85*E32</f>
        <v>8.5</v>
      </c>
      <c r="F33" s="184">
        <f t="shared" si="8"/>
        <v>0</v>
      </c>
      <c r="G33" s="318"/>
      <c r="H33" t="str">
        <f>IF(J34&gt;1,"Entry error, select one answer","")</f>
        <v/>
      </c>
      <c r="I33">
        <f t="shared" ref="I33:I34" si="14">IF(D33,1,0)</f>
        <v>0</v>
      </c>
    </row>
    <row r="34" spans="1:18" ht="15.75" customHeight="1" x14ac:dyDescent="0.35">
      <c r="A34" s="169"/>
      <c r="B34" s="246"/>
      <c r="C34" s="362">
        <f>VLOOKUP(ship_type,fitgoodhomeport,4,FALSE)</f>
        <v>1</v>
      </c>
      <c r="D34" s="265" t="b">
        <v>0</v>
      </c>
      <c r="E34" s="81">
        <f t="shared" ref="E34" si="15">E32*0.75</f>
        <v>7.5</v>
      </c>
      <c r="F34" s="184">
        <f t="shared" si="8"/>
        <v>0</v>
      </c>
      <c r="G34" s="318"/>
      <c r="I34">
        <f t="shared" si="14"/>
        <v>0</v>
      </c>
      <c r="J34">
        <f>SUM(I32:I34)</f>
        <v>0</v>
      </c>
    </row>
    <row r="35" spans="1:18" ht="15.75" customHeight="1" x14ac:dyDescent="0.35">
      <c r="A35" s="160" t="s">
        <v>432</v>
      </c>
      <c r="B35" s="195" t="s">
        <v>79</v>
      </c>
      <c r="C35" s="363">
        <f>VLOOKUP(ship_type,fitbesthomeport,5,FALSE)</f>
        <v>30</v>
      </c>
      <c r="D35" s="265" t="b">
        <v>0</v>
      </c>
      <c r="E35" s="81">
        <v>10</v>
      </c>
      <c r="F35" s="184">
        <f t="shared" si="8"/>
        <v>0</v>
      </c>
      <c r="G35" s="318"/>
      <c r="I35">
        <f>IF(D35,1,0)</f>
        <v>0</v>
      </c>
    </row>
    <row r="36" spans="1:18" ht="15.75" customHeight="1" x14ac:dyDescent="0.35">
      <c r="A36" s="267"/>
      <c r="B36" s="171"/>
      <c r="C36" s="361">
        <f>VLOOKUP(ship_type,fitbetterhomeport,5,FALSE)</f>
        <v>25</v>
      </c>
      <c r="D36" s="265" t="b">
        <v>0</v>
      </c>
      <c r="E36" s="81">
        <f t="shared" ref="E36" si="16">0.85*E35</f>
        <v>8.5</v>
      </c>
      <c r="F36" s="184">
        <f t="shared" si="8"/>
        <v>0</v>
      </c>
      <c r="G36" s="318"/>
      <c r="H36" t="str">
        <f>IF(J37&gt;1,"Entry error, select one answer","")</f>
        <v/>
      </c>
      <c r="I36">
        <f t="shared" ref="I36:I37" si="17">IF(D36,1,0)</f>
        <v>0</v>
      </c>
    </row>
    <row r="37" spans="1:18" ht="15.75" customHeight="1" x14ac:dyDescent="0.35">
      <c r="A37" s="267"/>
      <c r="B37" s="246"/>
      <c r="C37" s="362">
        <f>VLOOKUP(ship_type,fitgoodhomeport,5,FALSE)</f>
        <v>20</v>
      </c>
      <c r="D37" s="265" t="b">
        <v>0</v>
      </c>
      <c r="E37" s="81">
        <f t="shared" ref="E37" si="18">E35*0.75</f>
        <v>7.5</v>
      </c>
      <c r="F37" s="184">
        <f t="shared" si="8"/>
        <v>0</v>
      </c>
      <c r="G37" s="318"/>
      <c r="I37">
        <f t="shared" si="17"/>
        <v>0</v>
      </c>
      <c r="J37">
        <f>SUM(I35:I37)</f>
        <v>0</v>
      </c>
    </row>
    <row r="38" spans="1:18" x14ac:dyDescent="0.35">
      <c r="A38" s="160" t="s">
        <v>433</v>
      </c>
      <c r="B38" s="195" t="s">
        <v>176</v>
      </c>
      <c r="C38" s="271" t="s">
        <v>177</v>
      </c>
      <c r="D38" s="265" t="b">
        <v>0</v>
      </c>
      <c r="E38" s="81">
        <v>10</v>
      </c>
      <c r="F38" s="184">
        <f t="shared" si="8"/>
        <v>0</v>
      </c>
      <c r="G38" s="318"/>
      <c r="I38">
        <f>IF(D38,1,0)</f>
        <v>0</v>
      </c>
    </row>
    <row r="39" spans="1:18" x14ac:dyDescent="0.35">
      <c r="A39" s="267"/>
      <c r="B39" s="173"/>
      <c r="C39" s="185" t="s">
        <v>178</v>
      </c>
      <c r="D39" s="265" t="b">
        <v>0</v>
      </c>
      <c r="E39" s="81">
        <f t="shared" ref="E39" si="19">0.85*E38</f>
        <v>8.5</v>
      </c>
      <c r="F39" s="184">
        <f t="shared" si="8"/>
        <v>0</v>
      </c>
      <c r="G39" s="318"/>
      <c r="H39" t="str">
        <f>IF(J40&gt;1,"Entry error, select one answer","")</f>
        <v/>
      </c>
      <c r="I39">
        <f t="shared" ref="I39:I40" si="20">IF(D39,1,0)</f>
        <v>0</v>
      </c>
    </row>
    <row r="40" spans="1:18" ht="16" thickBot="1" x14ac:dyDescent="0.4">
      <c r="A40" s="267"/>
      <c r="B40" s="171"/>
      <c r="C40" s="185" t="s">
        <v>179</v>
      </c>
      <c r="D40" s="396" t="b">
        <v>0</v>
      </c>
      <c r="E40" s="81">
        <f t="shared" ref="E40" si="21">E38*0.75</f>
        <v>7.5</v>
      </c>
      <c r="F40" s="184">
        <f t="shared" si="8"/>
        <v>0</v>
      </c>
      <c r="G40" s="318"/>
      <c r="I40">
        <f t="shared" si="20"/>
        <v>0</v>
      </c>
      <c r="J40">
        <f>SUM(I38:I40)</f>
        <v>0</v>
      </c>
    </row>
    <row r="41" spans="1:18" ht="17.25" customHeight="1" thickTop="1" thickBot="1" x14ac:dyDescent="0.4">
      <c r="A41" s="391"/>
      <c r="B41" s="392"/>
      <c r="C41" s="392"/>
      <c r="D41" s="393"/>
      <c r="E41" s="81"/>
      <c r="G41" s="481"/>
      <c r="H41" s="174"/>
      <c r="I41" s="229"/>
      <c r="J41" s="229"/>
      <c r="K41" s="174"/>
      <c r="L41" s="174"/>
      <c r="M41" s="174"/>
      <c r="N41" s="174"/>
      <c r="O41" s="174"/>
      <c r="P41" s="174"/>
      <c r="Q41" s="174"/>
      <c r="R41" s="174"/>
    </row>
    <row r="42" spans="1:18" ht="22.5" customHeight="1" thickBot="1" x14ac:dyDescent="0.4">
      <c r="A42" s="160"/>
      <c r="B42" s="604" t="s">
        <v>269</v>
      </c>
      <c r="C42" s="604"/>
      <c r="D42" s="252">
        <f>F42/E42</f>
        <v>0</v>
      </c>
      <c r="E42" s="81">
        <f>E38+E35+E32+E29+E26</f>
        <v>50</v>
      </c>
      <c r="F42" s="184">
        <f>SUM(F26:F40)</f>
        <v>0</v>
      </c>
      <c r="G42" s="481"/>
      <c r="H42" s="174"/>
      <c r="I42" s="229"/>
      <c r="J42" s="229"/>
      <c r="K42" s="174"/>
      <c r="L42" s="174"/>
      <c r="M42" s="174"/>
      <c r="N42" s="174"/>
      <c r="O42" s="174"/>
      <c r="P42" s="174"/>
      <c r="Q42" s="174"/>
      <c r="R42" s="174"/>
    </row>
    <row r="43" spans="1:18" ht="22.5" customHeight="1" thickBot="1" x14ac:dyDescent="0.4">
      <c r="A43" s="160"/>
      <c r="B43" s="268"/>
      <c r="C43" s="268"/>
      <c r="D43" s="276"/>
      <c r="E43" s="25"/>
      <c r="G43" s="481"/>
      <c r="H43" s="174"/>
      <c r="I43" s="229"/>
      <c r="J43" s="229"/>
      <c r="K43" s="174"/>
      <c r="L43" s="174"/>
      <c r="M43" s="174"/>
      <c r="N43" s="174"/>
      <c r="O43" s="174"/>
      <c r="P43" s="174"/>
      <c r="Q43" s="174"/>
      <c r="R43" s="174"/>
    </row>
    <row r="44" spans="1:18" ht="94.5" customHeight="1" thickTop="1" thickBot="1" x14ac:dyDescent="0.4">
      <c r="A44" s="257" t="s">
        <v>173</v>
      </c>
      <c r="B44" s="601" t="s">
        <v>280</v>
      </c>
      <c r="C44" s="602"/>
      <c r="D44" s="463" t="s">
        <v>26</v>
      </c>
      <c r="E44" s="561" t="s">
        <v>24</v>
      </c>
      <c r="F44" s="184" t="s">
        <v>25</v>
      </c>
      <c r="G44" s="318"/>
    </row>
    <row r="45" spans="1:18" ht="78.75" customHeight="1" thickTop="1" thickBot="1" x14ac:dyDescent="0.4">
      <c r="A45" s="280"/>
      <c r="B45" s="586" t="s">
        <v>463</v>
      </c>
      <c r="C45" s="611"/>
      <c r="D45" s="455" t="s">
        <v>261</v>
      </c>
      <c r="E45" s="165"/>
      <c r="G45" s="467"/>
    </row>
    <row r="46" spans="1:18" x14ac:dyDescent="0.35">
      <c r="A46" s="160" t="s">
        <v>434</v>
      </c>
      <c r="B46" s="270" t="s">
        <v>165</v>
      </c>
      <c r="C46" s="361">
        <f>VLOOKUP(ship_type,fitbestshipyard,2,FALSE)</f>
        <v>2</v>
      </c>
      <c r="D46" s="265" t="b">
        <v>0</v>
      </c>
      <c r="E46" s="81">
        <v>10</v>
      </c>
      <c r="F46" s="184">
        <f>IF(D46,IF(C46="-",0,E46),0)</f>
        <v>0</v>
      </c>
      <c r="G46" s="318"/>
      <c r="I46">
        <f>IF(D46,1,0)</f>
        <v>0</v>
      </c>
    </row>
    <row r="47" spans="1:18" ht="15.75" customHeight="1" x14ac:dyDescent="0.35">
      <c r="A47" s="160"/>
      <c r="B47" s="58"/>
      <c r="C47" s="361">
        <f>VLOOKUP(ship_type,fitbettershipyard,2,FALSE)</f>
        <v>1</v>
      </c>
      <c r="D47" s="265" t="b">
        <v>0</v>
      </c>
      <c r="E47" s="81">
        <f>0.85*E46</f>
        <v>8.5</v>
      </c>
      <c r="F47" s="184">
        <f t="shared" ref="F47:F60" si="22">IF(D47,IF(C47="-",0,E47),0)</f>
        <v>0</v>
      </c>
      <c r="G47" s="318"/>
      <c r="H47" t="str">
        <f>IF(J48&gt;1,"Entry error, select one answer","")</f>
        <v/>
      </c>
      <c r="I47">
        <f t="shared" ref="I47:I48" si="23">IF(D47,1,0)</f>
        <v>0</v>
      </c>
    </row>
    <row r="48" spans="1:18" ht="15.75" customHeight="1" x14ac:dyDescent="0.35">
      <c r="A48" s="160"/>
      <c r="B48" s="256"/>
      <c r="C48" s="362" t="str">
        <f>VLOOKUP(ship_type,fitgoodshipyard,2,FALSE)</f>
        <v>-</v>
      </c>
      <c r="D48" s="265" t="b">
        <v>0</v>
      </c>
      <c r="E48" s="81">
        <f>E46*0.75</f>
        <v>7.5</v>
      </c>
      <c r="F48" s="184">
        <f t="shared" si="22"/>
        <v>0</v>
      </c>
      <c r="G48" s="318"/>
      <c r="I48">
        <f t="shared" si="23"/>
        <v>0</v>
      </c>
      <c r="J48">
        <f>SUM(I46:I48)</f>
        <v>0</v>
      </c>
    </row>
    <row r="49" spans="1:10" ht="15.75" customHeight="1" x14ac:dyDescent="0.35">
      <c r="A49" s="160" t="s">
        <v>435</v>
      </c>
      <c r="B49" s="195" t="s">
        <v>166</v>
      </c>
      <c r="C49" s="363">
        <f>VLOOKUP(ship_type,fitbestshipyard,3,FALSE)</f>
        <v>2</v>
      </c>
      <c r="D49" s="265" t="b">
        <v>0</v>
      </c>
      <c r="E49" s="81">
        <v>10</v>
      </c>
      <c r="F49" s="184">
        <f t="shared" si="22"/>
        <v>0</v>
      </c>
      <c r="G49" s="318"/>
      <c r="I49">
        <f>IF(D49,1,0)</f>
        <v>0</v>
      </c>
    </row>
    <row r="50" spans="1:10" ht="15.75" customHeight="1" x14ac:dyDescent="0.35">
      <c r="A50" s="169"/>
      <c r="B50" s="172"/>
      <c r="C50" s="363">
        <f>VLOOKUP(ship_type,fitbettershipyard,3,FALSE)</f>
        <v>1</v>
      </c>
      <c r="D50" s="265" t="b">
        <v>0</v>
      </c>
      <c r="E50" s="81">
        <f t="shared" ref="E50" si="24">0.85*E49</f>
        <v>8.5</v>
      </c>
      <c r="F50" s="184">
        <f t="shared" si="22"/>
        <v>0</v>
      </c>
      <c r="G50" s="318"/>
      <c r="H50" t="str">
        <f>IF(J51&gt;1,"Entry error, select one answer","")</f>
        <v/>
      </c>
      <c r="I50">
        <f t="shared" ref="I50:I51" si="25">IF(D50,1,0)</f>
        <v>0</v>
      </c>
    </row>
    <row r="51" spans="1:10" ht="15.75" customHeight="1" x14ac:dyDescent="0.35">
      <c r="A51" s="169"/>
      <c r="B51" s="246"/>
      <c r="C51" s="362" t="str">
        <f>VLOOKUP(ship_type,fitgoodshipyard,3,FALSE)</f>
        <v>-</v>
      </c>
      <c r="D51" s="265" t="b">
        <v>0</v>
      </c>
      <c r="E51" s="81">
        <f t="shared" ref="E51" si="26">E49*0.75</f>
        <v>7.5</v>
      </c>
      <c r="F51" s="184">
        <f t="shared" si="22"/>
        <v>0</v>
      </c>
      <c r="G51" s="318"/>
      <c r="I51">
        <f t="shared" si="25"/>
        <v>0</v>
      </c>
      <c r="J51">
        <f>SUM(I49:I51)</f>
        <v>0</v>
      </c>
    </row>
    <row r="52" spans="1:10" ht="15.75" customHeight="1" x14ac:dyDescent="0.35">
      <c r="A52" s="160" t="s">
        <v>436</v>
      </c>
      <c r="B52" s="195" t="s">
        <v>97</v>
      </c>
      <c r="C52" s="363">
        <f>VLOOKUP(ship_type,fitbestshipyard,4,FALSE)</f>
        <v>3</v>
      </c>
      <c r="D52" s="265" t="b">
        <v>0</v>
      </c>
      <c r="E52" s="81">
        <v>10</v>
      </c>
      <c r="F52" s="184">
        <f t="shared" si="22"/>
        <v>0</v>
      </c>
      <c r="G52" s="318"/>
      <c r="I52">
        <f>IF(D52,1,0)</f>
        <v>0</v>
      </c>
    </row>
    <row r="53" spans="1:10" ht="15.75" customHeight="1" x14ac:dyDescent="0.35">
      <c r="A53" s="169"/>
      <c r="B53" s="170"/>
      <c r="C53" s="363">
        <f>VLOOKUP(ship_type,fitbettershipyard,4,FALSE)</f>
        <v>2</v>
      </c>
      <c r="D53" s="265" t="b">
        <v>0</v>
      </c>
      <c r="E53" s="81">
        <f t="shared" ref="E53" si="27">0.85*E52</f>
        <v>8.5</v>
      </c>
      <c r="F53" s="184">
        <f t="shared" si="22"/>
        <v>0</v>
      </c>
      <c r="G53" s="318"/>
      <c r="H53" t="str">
        <f>IF(J54&gt;1,"Entry error, select one answer","")</f>
        <v/>
      </c>
      <c r="I53">
        <f t="shared" ref="I53:I54" si="28">IF(D53,1,0)</f>
        <v>0</v>
      </c>
    </row>
    <row r="54" spans="1:10" ht="15.75" customHeight="1" x14ac:dyDescent="0.35">
      <c r="A54" s="169"/>
      <c r="B54" s="246"/>
      <c r="C54" s="362">
        <f>VLOOKUP(ship_type,fitgoodshipyard,4,FALSE)</f>
        <v>1</v>
      </c>
      <c r="D54" s="265" t="b">
        <v>0</v>
      </c>
      <c r="E54" s="81">
        <f t="shared" ref="E54" si="29">E52*0.75</f>
        <v>7.5</v>
      </c>
      <c r="F54" s="184">
        <f t="shared" si="22"/>
        <v>0</v>
      </c>
      <c r="G54" s="318"/>
      <c r="I54">
        <f t="shared" si="28"/>
        <v>0</v>
      </c>
      <c r="J54">
        <f>SUM(I52:I54)</f>
        <v>0</v>
      </c>
    </row>
    <row r="55" spans="1:10" ht="15.75" customHeight="1" x14ac:dyDescent="0.35">
      <c r="A55" s="160" t="s">
        <v>437</v>
      </c>
      <c r="B55" s="195" t="s">
        <v>79</v>
      </c>
      <c r="C55" s="363">
        <f>VLOOKUP(ship_type,fitbestshipyard,5,FALSE)</f>
        <v>10</v>
      </c>
      <c r="D55" s="265" t="b">
        <v>0</v>
      </c>
      <c r="E55" s="81">
        <v>10</v>
      </c>
      <c r="F55" s="184">
        <f t="shared" si="22"/>
        <v>0</v>
      </c>
      <c r="G55" s="318"/>
      <c r="I55">
        <f>IF(D55,1,0)</f>
        <v>0</v>
      </c>
    </row>
    <row r="56" spans="1:10" ht="15.75" customHeight="1" x14ac:dyDescent="0.35">
      <c r="A56" s="267"/>
      <c r="B56" s="171"/>
      <c r="C56" s="361">
        <f>VLOOKUP(ship_type,fitbettershipyard,5,FALSE)</f>
        <v>7</v>
      </c>
      <c r="D56" s="265" t="b">
        <v>0</v>
      </c>
      <c r="E56" s="81">
        <f t="shared" ref="E56" si="30">0.85*E55</f>
        <v>8.5</v>
      </c>
      <c r="F56" s="184">
        <f t="shared" si="22"/>
        <v>0</v>
      </c>
      <c r="G56" s="318"/>
      <c r="H56" t="str">
        <f>IF(J57&gt;1,"Entry error, select one answer","")</f>
        <v/>
      </c>
      <c r="I56">
        <f t="shared" ref="I56:I57" si="31">IF(D56,1,0)</f>
        <v>0</v>
      </c>
    </row>
    <row r="57" spans="1:10" ht="15.75" customHeight="1" x14ac:dyDescent="0.35">
      <c r="A57" s="267"/>
      <c r="B57" s="246"/>
      <c r="C57" s="362">
        <f>VLOOKUP(ship_type,fitgoodshipyard,5,FALSE)</f>
        <v>3</v>
      </c>
      <c r="D57" s="265" t="b">
        <v>0</v>
      </c>
      <c r="E57" s="81">
        <f t="shared" ref="E57" si="32">E55*0.75</f>
        <v>7.5</v>
      </c>
      <c r="F57" s="184">
        <f t="shared" si="22"/>
        <v>0</v>
      </c>
      <c r="G57" s="318"/>
      <c r="I57">
        <f t="shared" si="31"/>
        <v>0</v>
      </c>
      <c r="J57">
        <f>SUM(I55:I57)</f>
        <v>0</v>
      </c>
    </row>
    <row r="58" spans="1:10" x14ac:dyDescent="0.35">
      <c r="A58" s="160" t="s">
        <v>438</v>
      </c>
      <c r="B58" s="195" t="s">
        <v>176</v>
      </c>
      <c r="C58" s="185" t="s">
        <v>177</v>
      </c>
      <c r="D58" s="265" t="b">
        <v>0</v>
      </c>
      <c r="E58" s="81">
        <v>10</v>
      </c>
      <c r="F58" s="184">
        <f t="shared" si="22"/>
        <v>0</v>
      </c>
      <c r="G58" s="318"/>
      <c r="I58">
        <f>IF(D58,1,0)</f>
        <v>0</v>
      </c>
    </row>
    <row r="59" spans="1:10" x14ac:dyDescent="0.35">
      <c r="A59" s="267"/>
      <c r="B59" s="173"/>
      <c r="C59" s="185" t="s">
        <v>178</v>
      </c>
      <c r="D59" s="265" t="b">
        <v>0</v>
      </c>
      <c r="E59" s="81">
        <f t="shared" ref="E59" si="33">0.85*E58</f>
        <v>8.5</v>
      </c>
      <c r="F59" s="184">
        <f t="shared" si="22"/>
        <v>0</v>
      </c>
      <c r="G59" s="318"/>
      <c r="H59" t="str">
        <f>IF(J60&gt;1,"Entry error, select one answer","")</f>
        <v/>
      </c>
      <c r="I59">
        <f t="shared" ref="I59:I60" si="34">IF(D59,1,0)</f>
        <v>0</v>
      </c>
    </row>
    <row r="60" spans="1:10" ht="16" thickBot="1" x14ac:dyDescent="0.4">
      <c r="A60" s="267"/>
      <c r="B60" s="171"/>
      <c r="C60" s="185" t="s">
        <v>179</v>
      </c>
      <c r="D60" s="396" t="b">
        <v>0</v>
      </c>
      <c r="E60" s="81">
        <f t="shared" ref="E60" si="35">E58*0.75</f>
        <v>7.5</v>
      </c>
      <c r="F60" s="184">
        <f t="shared" si="22"/>
        <v>0</v>
      </c>
      <c r="G60" s="318"/>
      <c r="I60">
        <f t="shared" si="34"/>
        <v>0</v>
      </c>
      <c r="J60">
        <f>SUM(I58:I60)</f>
        <v>0</v>
      </c>
    </row>
    <row r="61" spans="1:10" ht="16.5" thickTop="1" thickBot="1" x14ac:dyDescent="0.4">
      <c r="A61" s="389"/>
      <c r="B61" s="389"/>
      <c r="C61" s="389"/>
      <c r="D61" s="397"/>
      <c r="G61" s="482"/>
    </row>
    <row r="62" spans="1:10" s="190" customFormat="1" ht="16" thickBot="1" x14ac:dyDescent="0.4">
      <c r="A62" s="181"/>
      <c r="B62" s="614" t="s">
        <v>32</v>
      </c>
      <c r="C62" s="615"/>
      <c r="D62" s="252">
        <f>F62/E62</f>
        <v>0</v>
      </c>
      <c r="E62" s="189">
        <f>E58+E55+E52+E49+E46</f>
        <v>50</v>
      </c>
      <c r="F62" s="189">
        <f>SUM(F46:F60)</f>
        <v>0</v>
      </c>
      <c r="G62" s="483"/>
    </row>
    <row r="63" spans="1:10" s="190" customFormat="1" ht="16.5" customHeight="1" x14ac:dyDescent="0.35">
      <c r="A63" s="181"/>
      <c r="B63" s="175"/>
      <c r="C63" s="40"/>
      <c r="D63" s="40"/>
      <c r="E63" s="189"/>
      <c r="F63" s="189"/>
      <c r="G63" s="483"/>
    </row>
    <row r="64" spans="1:10" s="190" customFormat="1" ht="16" thickBot="1" x14ac:dyDescent="0.4">
      <c r="A64" s="181"/>
      <c r="B64" s="175"/>
      <c r="C64" s="40"/>
      <c r="D64" s="40"/>
      <c r="E64" s="189"/>
      <c r="F64" s="189"/>
      <c r="G64" s="483"/>
    </row>
    <row r="65" spans="1:7" s="190" customFormat="1" ht="96.75" customHeight="1" thickBot="1" x14ac:dyDescent="0.4">
      <c r="A65" s="181"/>
      <c r="B65" s="609" t="s">
        <v>48</v>
      </c>
      <c r="C65" s="612"/>
      <c r="D65" s="613"/>
      <c r="E65" s="189"/>
      <c r="F65" s="189"/>
      <c r="G65" s="483"/>
    </row>
    <row r="66" spans="1:7" x14ac:dyDescent="0.35">
      <c r="G66" s="482"/>
    </row>
    <row r="67" spans="1:7" x14ac:dyDescent="0.35">
      <c r="G67" s="482"/>
    </row>
    <row r="68" spans="1:7" x14ac:dyDescent="0.35">
      <c r="B68" s="603" t="s">
        <v>274</v>
      </c>
      <c r="C68" s="603"/>
      <c r="D68" s="497">
        <f>D62+D42+D22</f>
        <v>0</v>
      </c>
      <c r="G68" s="482"/>
    </row>
    <row r="69" spans="1:7" x14ac:dyDescent="0.35">
      <c r="G69" s="482"/>
    </row>
    <row r="70" spans="1:7" x14ac:dyDescent="0.35">
      <c r="G70" s="482"/>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4"/>
  <sheetViews>
    <sheetView zoomScaleNormal="100" workbookViewId="0">
      <selection activeCell="F7" sqref="F7:F22"/>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16" t="s">
        <v>195</v>
      </c>
      <c r="B1" s="616"/>
      <c r="C1" s="616"/>
      <c r="F1" s="464" t="s">
        <v>412</v>
      </c>
      <c r="G1" s="40"/>
    </row>
    <row r="2" spans="1:9" x14ac:dyDescent="0.35">
      <c r="A2" s="232"/>
      <c r="B2" s="232"/>
      <c r="C2" s="232"/>
      <c r="F2" s="465" t="str">
        <f>VLOOKUP(shiptypenum,shiptbl,2,FALSE)</f>
        <v>SSBN/SSGN</v>
      </c>
      <c r="G2" s="40"/>
    </row>
    <row r="3" spans="1:9" x14ac:dyDescent="0.35">
      <c r="A3" s="53" t="s">
        <v>44</v>
      </c>
      <c r="B3" s="53"/>
      <c r="C3" s="63"/>
      <c r="D3" s="63"/>
      <c r="E3" s="54"/>
      <c r="F3" s="468"/>
      <c r="G3" s="40"/>
    </row>
    <row r="4" spans="1:9" x14ac:dyDescent="0.35">
      <c r="A4" s="53"/>
      <c r="B4" s="53"/>
      <c r="C4" s="63"/>
      <c r="D4" s="63"/>
      <c r="E4" s="54"/>
      <c r="F4" s="468"/>
      <c r="G4" s="40"/>
    </row>
    <row r="5" spans="1:9" s="48" customFormat="1" ht="33.75" customHeight="1" x14ac:dyDescent="0.35">
      <c r="A5" s="576" t="s">
        <v>484</v>
      </c>
      <c r="B5" s="576"/>
      <c r="C5" s="576"/>
      <c r="D5" s="272"/>
      <c r="G5" s="286"/>
    </row>
    <row r="6" spans="1:9" s="48" customFormat="1" ht="33.75" customHeight="1" thickBot="1" x14ac:dyDescent="0.4">
      <c r="A6" s="576" t="s">
        <v>485</v>
      </c>
      <c r="B6" s="576"/>
      <c r="C6" s="576"/>
      <c r="D6" s="287"/>
      <c r="G6" s="286"/>
    </row>
    <row r="7" spans="1:9" ht="26.25" customHeight="1" thickTop="1" thickBot="1" x14ac:dyDescent="0.4">
      <c r="A7" s="288"/>
      <c r="B7" s="289"/>
      <c r="C7" s="498" t="s">
        <v>26</v>
      </c>
      <c r="D7" s="290" t="s">
        <v>24</v>
      </c>
      <c r="E7" s="189" t="s">
        <v>25</v>
      </c>
      <c r="F7" s="484"/>
      <c r="G7" s="40"/>
    </row>
    <row r="8" spans="1:9" ht="16" thickTop="1" x14ac:dyDescent="0.35">
      <c r="A8" s="617" t="s">
        <v>196</v>
      </c>
      <c r="B8" s="618"/>
      <c r="C8" s="401"/>
      <c r="D8" s="126"/>
      <c r="F8" s="474"/>
      <c r="G8" s="40"/>
    </row>
    <row r="9" spans="1:9" ht="54.75" customHeight="1" x14ac:dyDescent="0.35">
      <c r="A9" s="35" t="s">
        <v>50</v>
      </c>
      <c r="B9" s="206" t="s">
        <v>284</v>
      </c>
      <c r="C9" s="264" t="b">
        <v>0</v>
      </c>
      <c r="D9" s="189">
        <v>10</v>
      </c>
      <c r="E9" s="189">
        <f>IF(C9,D9,0)</f>
        <v>0</v>
      </c>
      <c r="F9" s="484"/>
      <c r="G9" s="40"/>
    </row>
    <row r="10" spans="1:9" ht="349.5" customHeight="1" x14ac:dyDescent="0.35">
      <c r="A10" s="35"/>
      <c r="B10" s="478" t="s">
        <v>468</v>
      </c>
      <c r="C10" s="285"/>
      <c r="D10" s="126"/>
      <c r="F10" s="485"/>
      <c r="G10" s="40"/>
      <c r="I10" s="476"/>
    </row>
    <row r="11" spans="1:9" ht="27.75" customHeight="1" x14ac:dyDescent="0.35">
      <c r="A11" s="619" t="s">
        <v>197</v>
      </c>
      <c r="B11" s="620"/>
      <c r="C11" s="285"/>
      <c r="D11" s="126"/>
      <c r="F11" s="470"/>
      <c r="G11" s="40"/>
    </row>
    <row r="12" spans="1:9" ht="59.25" customHeight="1" x14ac:dyDescent="0.35">
      <c r="A12" s="35" t="s">
        <v>51</v>
      </c>
      <c r="B12" s="206" t="s">
        <v>283</v>
      </c>
      <c r="C12" s="264" t="b">
        <v>0</v>
      </c>
      <c r="D12" s="126">
        <v>10</v>
      </c>
      <c r="E12" s="189">
        <f t="shared" ref="E12:E21" si="0">IF(C12,D12,0)</f>
        <v>0</v>
      </c>
      <c r="F12" s="484"/>
      <c r="G12" s="40"/>
    </row>
    <row r="13" spans="1:9" ht="184.5" customHeight="1" x14ac:dyDescent="0.35">
      <c r="A13" s="35"/>
      <c r="B13" s="478" t="s">
        <v>469</v>
      </c>
      <c r="C13" s="285"/>
      <c r="D13" s="126"/>
      <c r="F13" s="471"/>
      <c r="G13" s="40"/>
    </row>
    <row r="14" spans="1:9" customFormat="1" ht="45.75" customHeight="1" x14ac:dyDescent="0.35">
      <c r="A14" s="35" t="s">
        <v>382</v>
      </c>
      <c r="B14" s="207" t="s">
        <v>230</v>
      </c>
      <c r="C14" s="73" t="b">
        <v>0</v>
      </c>
      <c r="D14" s="36">
        <v>10</v>
      </c>
      <c r="E14" s="26">
        <f>IF(C14,D14,0)</f>
        <v>0</v>
      </c>
      <c r="F14" s="484"/>
      <c r="G14" s="3"/>
    </row>
    <row r="15" spans="1:9" ht="27.75" customHeight="1" x14ac:dyDescent="0.35">
      <c r="A15" s="619" t="s">
        <v>199</v>
      </c>
      <c r="B15" s="620"/>
      <c r="C15" s="285"/>
      <c r="D15" s="126"/>
      <c r="F15" s="484"/>
      <c r="G15" s="40"/>
    </row>
    <row r="16" spans="1:9" ht="26.25" customHeight="1" x14ac:dyDescent="0.35">
      <c r="A16" s="35" t="s">
        <v>52</v>
      </c>
      <c r="B16" s="204" t="s">
        <v>214</v>
      </c>
      <c r="C16" s="264" t="b">
        <v>0</v>
      </c>
      <c r="D16" s="126">
        <f>0.3*D12</f>
        <v>3</v>
      </c>
      <c r="E16" s="189">
        <f t="shared" si="0"/>
        <v>0</v>
      </c>
      <c r="F16" s="472"/>
      <c r="G16" s="40"/>
    </row>
    <row r="17" spans="1:7" ht="45" customHeight="1" x14ac:dyDescent="0.35">
      <c r="A17" s="35" t="s">
        <v>53</v>
      </c>
      <c r="B17" s="227" t="s">
        <v>215</v>
      </c>
      <c r="C17" s="264" t="b">
        <v>0</v>
      </c>
      <c r="D17" s="189">
        <v>5</v>
      </c>
      <c r="E17" s="189">
        <f t="shared" si="0"/>
        <v>0</v>
      </c>
      <c r="F17" s="473"/>
    </row>
    <row r="18" spans="1:7" ht="25.5" customHeight="1" x14ac:dyDescent="0.35">
      <c r="A18" s="619" t="s">
        <v>198</v>
      </c>
      <c r="B18" s="620"/>
      <c r="C18" s="285"/>
      <c r="F18" s="469"/>
    </row>
    <row r="19" spans="1:7" ht="25.5" customHeight="1" x14ac:dyDescent="0.35">
      <c r="A19" s="35"/>
      <c r="B19" s="205" t="s">
        <v>281</v>
      </c>
      <c r="C19" s="285"/>
      <c r="F19" s="484"/>
    </row>
    <row r="20" spans="1:7" ht="25.5" customHeight="1" x14ac:dyDescent="0.35">
      <c r="A20" s="35" t="s">
        <v>54</v>
      </c>
      <c r="B20" s="284" t="s">
        <v>216</v>
      </c>
      <c r="C20" s="264" t="b">
        <v>0</v>
      </c>
      <c r="D20" s="189">
        <v>5</v>
      </c>
      <c r="E20" s="126">
        <f t="shared" si="0"/>
        <v>0</v>
      </c>
      <c r="F20" s="484"/>
    </row>
    <row r="21" spans="1:7" ht="25.5" customHeight="1" thickBot="1" x14ac:dyDescent="0.4">
      <c r="A21" s="35" t="s">
        <v>282</v>
      </c>
      <c r="B21" s="284" t="s">
        <v>217</v>
      </c>
      <c r="C21" s="264" t="b">
        <v>0</v>
      </c>
      <c r="D21" s="189">
        <v>5</v>
      </c>
      <c r="E21" s="126">
        <f t="shared" si="0"/>
        <v>0</v>
      </c>
      <c r="F21" s="484"/>
    </row>
    <row r="22" spans="1:7" ht="27.75" customHeight="1" thickTop="1" thickBot="1" x14ac:dyDescent="0.4">
      <c r="A22" s="291"/>
      <c r="B22" s="292"/>
      <c r="C22" s="388"/>
      <c r="E22" s="126"/>
      <c r="F22" s="486"/>
      <c r="G22" s="40"/>
    </row>
    <row r="23" spans="1:7" ht="16" thickBot="1" x14ac:dyDescent="0.4">
      <c r="B23" s="293" t="s">
        <v>32</v>
      </c>
      <c r="C23" s="296">
        <f>E23/D23</f>
        <v>0</v>
      </c>
      <c r="D23" s="189">
        <f>SUM(D9:D21)</f>
        <v>48</v>
      </c>
      <c r="E23" s="189">
        <f>SUM(E9:E21)</f>
        <v>0</v>
      </c>
      <c r="F23" s="474"/>
      <c r="G23" s="40"/>
    </row>
    <row r="24" spans="1:7" ht="16" thickBot="1" x14ac:dyDescent="0.4">
      <c r="F24" s="474"/>
    </row>
    <row r="25" spans="1:7" ht="177" customHeight="1" thickBot="1" x14ac:dyDescent="0.4">
      <c r="B25" s="579" t="s">
        <v>46</v>
      </c>
      <c r="C25" s="580"/>
      <c r="F25" s="474"/>
    </row>
    <row r="26" spans="1:7" x14ac:dyDescent="0.35">
      <c r="B26" s="33"/>
    </row>
    <row r="27" spans="1:7" x14ac:dyDescent="0.35">
      <c r="B27" s="295"/>
      <c r="F27" s="468"/>
    </row>
    <row r="34" ht="17.25" customHeight="1" x14ac:dyDescent="0.35"/>
  </sheetData>
  <mergeCells count="8">
    <mergeCell ref="A1:C1"/>
    <mergeCell ref="B25:C25"/>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23" r:id="rId10"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91"/>
  <sheetViews>
    <sheetView zoomScaleNormal="100" zoomScaleSheetLayoutView="100" workbookViewId="0">
      <selection activeCell="B17" sqref="B17"/>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193</v>
      </c>
      <c r="B1" s="77"/>
      <c r="C1" s="77"/>
      <c r="D1" s="136"/>
      <c r="G1" s="372" t="s">
        <v>412</v>
      </c>
    </row>
    <row r="2" spans="1:7" x14ac:dyDescent="0.35">
      <c r="A2" s="232"/>
      <c r="B2" s="232"/>
      <c r="C2" s="232"/>
      <c r="D2" s="136"/>
      <c r="G2" s="373" t="str">
        <f>VLOOKUP(shiptypenum,shiptbl,2,FALSE)</f>
        <v>SSBN/SSGN</v>
      </c>
    </row>
    <row r="3" spans="1:7" x14ac:dyDescent="0.35">
      <c r="A3" s="53" t="s">
        <v>44</v>
      </c>
      <c r="B3" s="157"/>
      <c r="C3" s="191"/>
      <c r="D3" s="192"/>
    </row>
    <row r="4" spans="1:7" s="48" customFormat="1" ht="33.75" customHeight="1" x14ac:dyDescent="0.35">
      <c r="A4" s="576" t="s">
        <v>484</v>
      </c>
      <c r="B4" s="576"/>
      <c r="C4" s="576"/>
      <c r="D4" s="272"/>
      <c r="E4" s="287"/>
      <c r="F4" s="287"/>
    </row>
    <row r="5" spans="1:7" s="48" customFormat="1" ht="33.75" customHeight="1" thickBot="1" x14ac:dyDescent="0.4">
      <c r="A5" s="576" t="s">
        <v>485</v>
      </c>
      <c r="B5" s="576"/>
      <c r="C5" s="576"/>
      <c r="D5" s="302"/>
      <c r="E5" s="287"/>
      <c r="F5" s="287"/>
    </row>
    <row r="6" spans="1:7" ht="24.75" customHeight="1" thickTop="1" thickBot="1" x14ac:dyDescent="0.4">
      <c r="A6" s="621"/>
      <c r="B6" s="621"/>
      <c r="C6" s="193"/>
      <c r="D6" s="329" t="s">
        <v>26</v>
      </c>
      <c r="E6" s="189" t="s">
        <v>24</v>
      </c>
      <c r="F6" s="189" t="s">
        <v>25</v>
      </c>
      <c r="G6" s="484"/>
    </row>
    <row r="7" spans="1:7" s="304" customFormat="1" ht="16" thickTop="1" x14ac:dyDescent="0.35">
      <c r="A7" s="313"/>
      <c r="B7" s="310" t="s">
        <v>321</v>
      </c>
      <c r="C7" s="343" t="s">
        <v>320</v>
      </c>
      <c r="D7" s="314"/>
      <c r="E7" s="318"/>
      <c r="F7" s="318"/>
      <c r="G7" s="474"/>
    </row>
    <row r="8" spans="1:7" s="304" customFormat="1" ht="31.5" customHeight="1" x14ac:dyDescent="0.35">
      <c r="A8" s="317" t="s">
        <v>326</v>
      </c>
      <c r="B8" s="563" t="s">
        <v>486</v>
      </c>
      <c r="C8" s="303">
        <v>9</v>
      </c>
      <c r="D8" s="264" t="b">
        <v>0</v>
      </c>
      <c r="E8" s="380">
        <v>10</v>
      </c>
      <c r="F8" s="318">
        <f>IF(D8,E8,0)</f>
        <v>0</v>
      </c>
      <c r="G8" s="484"/>
    </row>
    <row r="9" spans="1:7" s="304" customFormat="1" ht="15.5" customHeight="1" x14ac:dyDescent="0.35">
      <c r="A9" s="317"/>
      <c r="B9" s="565" t="s">
        <v>487</v>
      </c>
      <c r="C9" s="566"/>
      <c r="D9" s="264" t="b">
        <v>0</v>
      </c>
      <c r="E9" s="380">
        <v>8</v>
      </c>
      <c r="F9" s="318">
        <f>IF(D9,E9,0)</f>
        <v>0</v>
      </c>
      <c r="G9" s="484"/>
    </row>
    <row r="10" spans="1:7" s="304" customFormat="1" x14ac:dyDescent="0.35">
      <c r="A10" s="313"/>
      <c r="B10" s="305" t="s">
        <v>332</v>
      </c>
      <c r="C10" s="309"/>
      <c r="D10" s="322"/>
      <c r="E10" s="380"/>
      <c r="F10" s="318"/>
      <c r="G10" s="330"/>
    </row>
    <row r="11" spans="1:7" s="304" customFormat="1" x14ac:dyDescent="0.35">
      <c r="A11" s="313"/>
      <c r="B11" s="305" t="s">
        <v>333</v>
      </c>
      <c r="C11" s="309"/>
      <c r="D11" s="323"/>
      <c r="E11" s="380"/>
      <c r="F11" s="318"/>
      <c r="G11" s="330"/>
    </row>
    <row r="12" spans="1:7" s="304" customFormat="1" x14ac:dyDescent="0.35">
      <c r="A12" s="313"/>
      <c r="B12" s="305" t="s">
        <v>488</v>
      </c>
      <c r="C12" s="309"/>
      <c r="D12" s="323"/>
      <c r="E12" s="380"/>
      <c r="F12" s="318"/>
      <c r="G12" s="330"/>
    </row>
    <row r="13" spans="1:7" s="304" customFormat="1" x14ac:dyDescent="0.35">
      <c r="A13" s="313"/>
      <c r="B13" s="567" t="s">
        <v>489</v>
      </c>
      <c r="C13" s="568"/>
      <c r="D13" s="569" t="b">
        <v>0</v>
      </c>
      <c r="E13" s="380">
        <v>8</v>
      </c>
      <c r="F13" s="318">
        <f>IF(D13,E13,0)</f>
        <v>0</v>
      </c>
      <c r="G13" s="330"/>
    </row>
    <row r="14" spans="1:7" s="304" customFormat="1" x14ac:dyDescent="0.35">
      <c r="A14" s="313"/>
      <c r="B14" s="305" t="s">
        <v>490</v>
      </c>
      <c r="C14" s="309"/>
      <c r="D14" s="323"/>
      <c r="E14" s="380"/>
      <c r="F14" s="318"/>
      <c r="G14" s="330"/>
    </row>
    <row r="15" spans="1:7" s="304" customFormat="1" x14ac:dyDescent="0.35">
      <c r="A15" s="313"/>
      <c r="B15" s="305" t="s">
        <v>491</v>
      </c>
      <c r="C15" s="309"/>
      <c r="D15" s="323"/>
      <c r="E15" s="380"/>
      <c r="F15" s="318"/>
      <c r="G15" s="330"/>
    </row>
    <row r="16" spans="1:7" s="304" customFormat="1" x14ac:dyDescent="0.35">
      <c r="A16" s="313"/>
      <c r="B16" s="570" t="s">
        <v>489</v>
      </c>
      <c r="C16" s="568"/>
      <c r="D16" s="569" t="b">
        <v>0</v>
      </c>
      <c r="E16" s="380">
        <v>8</v>
      </c>
      <c r="F16" s="318">
        <f>IF(D16,E16,0)</f>
        <v>0</v>
      </c>
      <c r="G16" s="330"/>
    </row>
    <row r="17" spans="1:7" s="304" customFormat="1" x14ac:dyDescent="0.35">
      <c r="A17" s="313"/>
      <c r="B17" s="571" t="s">
        <v>492</v>
      </c>
      <c r="C17" s="309"/>
      <c r="D17" s="323"/>
      <c r="E17" s="380"/>
      <c r="F17" s="318"/>
      <c r="G17" s="330"/>
    </row>
    <row r="18" spans="1:7" s="304" customFormat="1" x14ac:dyDescent="0.35">
      <c r="A18" s="313"/>
      <c r="B18" s="571" t="s">
        <v>493</v>
      </c>
      <c r="C18" s="309"/>
      <c r="D18" s="323"/>
      <c r="E18" s="380"/>
      <c r="F18" s="318"/>
      <c r="G18" s="330"/>
    </row>
    <row r="19" spans="1:7" s="304" customFormat="1" x14ac:dyDescent="0.35">
      <c r="A19" s="313"/>
      <c r="B19" s="571" t="s">
        <v>494</v>
      </c>
      <c r="C19" s="309"/>
      <c r="D19" s="323"/>
      <c r="E19" s="380"/>
      <c r="F19" s="318"/>
      <c r="G19" s="330"/>
    </row>
    <row r="20" spans="1:7" s="304" customFormat="1" x14ac:dyDescent="0.35">
      <c r="A20" s="313"/>
      <c r="B20" s="571" t="s">
        <v>495</v>
      </c>
      <c r="C20" s="309"/>
      <c r="D20" s="323"/>
      <c r="E20" s="380"/>
      <c r="F20" s="318"/>
      <c r="G20" s="330"/>
    </row>
    <row r="21" spans="1:7" s="304" customFormat="1" ht="16.5" customHeight="1" x14ac:dyDescent="0.35">
      <c r="A21" s="313"/>
      <c r="B21" s="179" t="s">
        <v>496</v>
      </c>
      <c r="C21" s="309"/>
      <c r="D21" s="323"/>
      <c r="E21" s="380"/>
      <c r="F21" s="318"/>
      <c r="G21" s="330"/>
    </row>
    <row r="22" spans="1:7" s="304" customFormat="1" x14ac:dyDescent="0.35">
      <c r="A22" s="313"/>
      <c r="B22" s="310" t="s">
        <v>322</v>
      </c>
      <c r="C22" s="303"/>
      <c r="D22" s="324"/>
      <c r="E22" s="380"/>
      <c r="F22" s="318"/>
      <c r="G22" s="474"/>
    </row>
    <row r="23" spans="1:7" s="304" customFormat="1" ht="31" x14ac:dyDescent="0.35">
      <c r="A23" s="317" t="s">
        <v>327</v>
      </c>
      <c r="B23" s="563" t="s">
        <v>497</v>
      </c>
      <c r="C23" s="309"/>
      <c r="D23" s="264" t="b">
        <v>0</v>
      </c>
      <c r="E23" s="380">
        <v>10</v>
      </c>
      <c r="F23" s="318">
        <f t="shared" ref="F23:F83" si="0">IF(D23,E23,0)</f>
        <v>0</v>
      </c>
      <c r="G23" s="484"/>
    </row>
    <row r="24" spans="1:7" s="304" customFormat="1" x14ac:dyDescent="0.35">
      <c r="A24" s="313"/>
      <c r="B24" s="305" t="s">
        <v>334</v>
      </c>
      <c r="C24" s="303">
        <f>VLOOKUP(ship_type,strength_tbl,2,FALSE)</f>
        <v>1</v>
      </c>
      <c r="D24" s="323"/>
      <c r="E24" s="380"/>
      <c r="F24" s="318"/>
      <c r="G24" s="330"/>
    </row>
    <row r="25" spans="1:7" s="304" customFormat="1" x14ac:dyDescent="0.35">
      <c r="A25" s="313"/>
      <c r="B25" s="305" t="s">
        <v>335</v>
      </c>
      <c r="C25" s="303">
        <f>VLOOKUP(ship_type,strength_tbl,3,FALSE)</f>
        <v>1</v>
      </c>
      <c r="D25" s="323"/>
      <c r="E25" s="380"/>
      <c r="F25" s="318"/>
      <c r="G25" s="330"/>
    </row>
    <row r="26" spans="1:7" s="304" customFormat="1" x14ac:dyDescent="0.35">
      <c r="A26" s="313"/>
      <c r="B26" s="305" t="s">
        <v>480</v>
      </c>
      <c r="C26" s="303" t="str">
        <f>VLOOKUP(ship_type,strength_tbl,4,FALSE)</f>
        <v>N/A</v>
      </c>
      <c r="D26" s="323"/>
      <c r="E26" s="380"/>
      <c r="F26" s="318"/>
      <c r="G26" s="330"/>
    </row>
    <row r="27" spans="1:7" s="304" customFormat="1" x14ac:dyDescent="0.35">
      <c r="A27" s="313"/>
      <c r="B27" s="305" t="s">
        <v>481</v>
      </c>
      <c r="C27" s="303" t="str">
        <f>VLOOKUP(ship_type,strength_tbl,5,FALSE)</f>
        <v>N/A</v>
      </c>
      <c r="D27" s="323"/>
      <c r="E27" s="380"/>
      <c r="F27" s="318"/>
      <c r="G27" s="330"/>
    </row>
    <row r="28" spans="1:7" s="304" customFormat="1" ht="16.5" customHeight="1" x14ac:dyDescent="0.35">
      <c r="A28" s="313"/>
      <c r="B28" s="308" t="s">
        <v>337</v>
      </c>
      <c r="C28" s="303">
        <v>1</v>
      </c>
      <c r="D28" s="323"/>
      <c r="E28" s="380"/>
      <c r="F28" s="318"/>
      <c r="G28" s="330"/>
    </row>
    <row r="29" spans="1:7" s="304" customFormat="1" ht="15.75" customHeight="1" x14ac:dyDescent="0.35">
      <c r="A29" s="313"/>
      <c r="B29" s="308" t="s">
        <v>336</v>
      </c>
      <c r="C29" s="303">
        <f>VLOOKUP(ship_type,strength_tbl,7,FALSE)</f>
        <v>7</v>
      </c>
      <c r="D29" s="323"/>
      <c r="E29" s="380"/>
      <c r="F29" s="318"/>
      <c r="G29" s="330"/>
    </row>
    <row r="30" spans="1:7" s="304" customFormat="1" ht="23.25" hidden="1" customHeight="1" x14ac:dyDescent="0.35">
      <c r="A30" s="313"/>
      <c r="B30" s="316" t="s">
        <v>323</v>
      </c>
      <c r="C30" s="303"/>
      <c r="D30" s="323"/>
      <c r="E30" s="380"/>
      <c r="F30" s="318"/>
      <c r="G30" s="474"/>
    </row>
    <row r="31" spans="1:7" s="304" customFormat="1" ht="41.25" hidden="1" customHeight="1" x14ac:dyDescent="0.35">
      <c r="A31" s="317" t="s">
        <v>328</v>
      </c>
      <c r="B31" s="231" t="s">
        <v>384</v>
      </c>
      <c r="C31" s="303" t="str">
        <f>VLOOKUP(ship_type,stack_tbl,2,FALSE)</f>
        <v>N/A</v>
      </c>
      <c r="D31" s="324" t="b">
        <v>0</v>
      </c>
      <c r="E31" s="380"/>
      <c r="F31" s="318">
        <f t="shared" si="0"/>
        <v>0</v>
      </c>
      <c r="G31" s="484"/>
    </row>
    <row r="32" spans="1:7" s="304" customFormat="1" hidden="1" x14ac:dyDescent="0.35">
      <c r="A32" s="313"/>
      <c r="B32" s="305" t="s">
        <v>338</v>
      </c>
      <c r="C32" s="309"/>
      <c r="D32" s="323"/>
      <c r="E32" s="380"/>
      <c r="F32" s="318"/>
      <c r="G32" s="330"/>
    </row>
    <row r="33" spans="1:7" s="304" customFormat="1" hidden="1" x14ac:dyDescent="0.35">
      <c r="A33" s="313"/>
      <c r="B33" s="305" t="s">
        <v>339</v>
      </c>
      <c r="C33" s="309"/>
      <c r="D33" s="323"/>
      <c r="E33" s="380"/>
      <c r="F33" s="318"/>
      <c r="G33" s="330"/>
    </row>
    <row r="34" spans="1:7" s="304" customFormat="1" hidden="1" x14ac:dyDescent="0.35">
      <c r="A34" s="313"/>
      <c r="B34" s="305" t="s">
        <v>340</v>
      </c>
      <c r="C34" s="309"/>
      <c r="D34" s="323"/>
      <c r="E34" s="380"/>
      <c r="F34" s="318"/>
      <c r="G34" s="330"/>
    </row>
    <row r="35" spans="1:7" s="304" customFormat="1" hidden="1" x14ac:dyDescent="0.35">
      <c r="A35" s="313"/>
      <c r="B35" s="305" t="s">
        <v>341</v>
      </c>
      <c r="C35" s="309"/>
      <c r="D35" s="323"/>
      <c r="E35" s="380"/>
      <c r="F35" s="318"/>
      <c r="G35" s="330"/>
    </row>
    <row r="36" spans="1:7" s="304" customFormat="1" hidden="1" x14ac:dyDescent="0.35">
      <c r="A36" s="313"/>
      <c r="B36" s="305" t="s">
        <v>342</v>
      </c>
      <c r="C36" s="309"/>
      <c r="D36" s="323"/>
      <c r="E36" s="380"/>
      <c r="F36" s="318"/>
      <c r="G36" s="330"/>
    </row>
    <row r="37" spans="1:7" s="304" customFormat="1" hidden="1" x14ac:dyDescent="0.35">
      <c r="A37" s="313"/>
      <c r="B37" s="305" t="s">
        <v>343</v>
      </c>
      <c r="C37" s="309"/>
      <c r="D37" s="323"/>
      <c r="E37" s="380"/>
      <c r="F37" s="318"/>
      <c r="G37" s="330"/>
    </row>
    <row r="38" spans="1:7" s="304" customFormat="1" hidden="1" x14ac:dyDescent="0.35">
      <c r="A38" s="313"/>
      <c r="B38" s="305" t="s">
        <v>344</v>
      </c>
      <c r="C38" s="309"/>
      <c r="D38" s="323"/>
      <c r="E38" s="380"/>
      <c r="F38" s="318"/>
      <c r="G38" s="330"/>
    </row>
    <row r="39" spans="1:7" s="304" customFormat="1" hidden="1" x14ac:dyDescent="0.35">
      <c r="A39" s="313"/>
      <c r="B39" s="305" t="s">
        <v>345</v>
      </c>
      <c r="C39" s="309"/>
      <c r="D39" s="323"/>
      <c r="E39" s="380"/>
      <c r="F39" s="318"/>
      <c r="G39" s="330"/>
    </row>
    <row r="40" spans="1:7" s="304" customFormat="1" hidden="1" x14ac:dyDescent="0.35">
      <c r="A40" s="313"/>
      <c r="B40" s="305" t="s">
        <v>346</v>
      </c>
      <c r="C40" s="309"/>
      <c r="D40" s="323"/>
      <c r="E40" s="380"/>
      <c r="F40" s="318"/>
      <c r="G40" s="330"/>
    </row>
    <row r="41" spans="1:7" s="304" customFormat="1" hidden="1" x14ac:dyDescent="0.35">
      <c r="A41" s="313"/>
      <c r="B41" s="305" t="s">
        <v>347</v>
      </c>
      <c r="C41" s="309"/>
      <c r="D41" s="323"/>
      <c r="E41" s="380"/>
      <c r="F41" s="318"/>
      <c r="G41" s="330"/>
    </row>
    <row r="42" spans="1:7" s="304" customFormat="1" hidden="1" x14ac:dyDescent="0.35">
      <c r="A42" s="313"/>
      <c r="B42" s="306"/>
      <c r="C42" s="303"/>
      <c r="D42" s="324"/>
      <c r="E42" s="380"/>
      <c r="F42" s="318"/>
      <c r="G42" s="474"/>
    </row>
    <row r="43" spans="1:7" s="304" customFormat="1" ht="21" hidden="1" customHeight="1" x14ac:dyDescent="0.35">
      <c r="A43" s="313"/>
      <c r="B43" s="316" t="s">
        <v>324</v>
      </c>
      <c r="C43" s="303"/>
      <c r="D43" s="324"/>
      <c r="E43" s="380"/>
      <c r="F43" s="318"/>
      <c r="G43" s="474"/>
    </row>
    <row r="44" spans="1:7" s="304" customFormat="1" ht="37.5" hidden="1" customHeight="1" x14ac:dyDescent="0.35">
      <c r="A44" s="317" t="s">
        <v>329</v>
      </c>
      <c r="B44" s="231" t="s">
        <v>383</v>
      </c>
      <c r="C44" s="303" t="str">
        <f>VLOOKUP(ship_type,plate_tbl,2,FALSE)</f>
        <v>N/A</v>
      </c>
      <c r="D44" s="324" t="b">
        <v>0</v>
      </c>
      <c r="E44" s="380"/>
      <c r="F44" s="318">
        <f t="shared" si="0"/>
        <v>0</v>
      </c>
      <c r="G44" s="484"/>
    </row>
    <row r="45" spans="1:7" s="307" customFormat="1" ht="46.5" hidden="1" x14ac:dyDescent="0.35">
      <c r="A45" s="315"/>
      <c r="B45" s="179" t="s">
        <v>348</v>
      </c>
      <c r="C45" s="312"/>
      <c r="D45" s="342"/>
      <c r="E45" s="380"/>
      <c r="F45" s="318"/>
      <c r="G45" s="330"/>
    </row>
    <row r="46" spans="1:7" s="307" customFormat="1" ht="23.25" hidden="1" customHeight="1" x14ac:dyDescent="0.35">
      <c r="A46" s="315"/>
      <c r="B46" s="308" t="s">
        <v>349</v>
      </c>
      <c r="C46" s="312"/>
      <c r="D46" s="342"/>
      <c r="E46" s="380"/>
      <c r="F46" s="318"/>
      <c r="G46" s="330"/>
    </row>
    <row r="47" spans="1:7" s="307" customFormat="1" ht="46.5" hidden="1" x14ac:dyDescent="0.35">
      <c r="A47" s="315"/>
      <c r="B47" s="179" t="s">
        <v>350</v>
      </c>
      <c r="C47" s="312"/>
      <c r="D47" s="342"/>
      <c r="E47" s="380"/>
      <c r="F47" s="318"/>
      <c r="G47" s="330"/>
    </row>
    <row r="48" spans="1:7" s="307" customFormat="1" ht="46.5" hidden="1" x14ac:dyDescent="0.35">
      <c r="A48" s="315"/>
      <c r="B48" s="179" t="s">
        <v>351</v>
      </c>
      <c r="C48" s="312"/>
      <c r="D48" s="342"/>
      <c r="E48" s="380"/>
      <c r="F48" s="318"/>
      <c r="G48" s="330"/>
    </row>
    <row r="49" spans="1:7" s="307" customFormat="1" ht="46.5" hidden="1" x14ac:dyDescent="0.35">
      <c r="A49" s="315"/>
      <c r="B49" s="179" t="s">
        <v>352</v>
      </c>
      <c r="C49" s="312"/>
      <c r="D49" s="342"/>
      <c r="E49" s="380"/>
      <c r="F49" s="318"/>
      <c r="G49" s="330"/>
    </row>
    <row r="50" spans="1:7" s="307" customFormat="1" ht="46.5" hidden="1" x14ac:dyDescent="0.35">
      <c r="A50" s="315"/>
      <c r="B50" s="179" t="s">
        <v>353</v>
      </c>
      <c r="C50" s="312"/>
      <c r="D50" s="342"/>
      <c r="E50" s="380"/>
      <c r="F50" s="318"/>
      <c r="G50" s="330"/>
    </row>
    <row r="51" spans="1:7" s="307" customFormat="1" ht="46.5" hidden="1" x14ac:dyDescent="0.35">
      <c r="A51" s="315"/>
      <c r="B51" s="179" t="s">
        <v>354</v>
      </c>
      <c r="C51" s="312"/>
      <c r="D51" s="342"/>
      <c r="E51" s="380"/>
      <c r="F51" s="318"/>
      <c r="G51" s="330"/>
    </row>
    <row r="52" spans="1:7" s="307" customFormat="1" ht="46.5" hidden="1" x14ac:dyDescent="0.35">
      <c r="A52" s="315"/>
      <c r="B52" s="179" t="s">
        <v>355</v>
      </c>
      <c r="C52" s="312"/>
      <c r="D52" s="342"/>
      <c r="E52" s="380"/>
      <c r="F52" s="318"/>
      <c r="G52" s="330"/>
    </row>
    <row r="53" spans="1:7" s="307" customFormat="1" ht="46.5" hidden="1" x14ac:dyDescent="0.35">
      <c r="A53" s="315"/>
      <c r="B53" s="179" t="s">
        <v>356</v>
      </c>
      <c r="C53" s="312"/>
      <c r="D53" s="342"/>
      <c r="E53" s="380"/>
      <c r="F53" s="318"/>
      <c r="G53" s="330"/>
    </row>
    <row r="54" spans="1:7" s="307" customFormat="1" ht="46.5" hidden="1" x14ac:dyDescent="0.35">
      <c r="A54" s="315"/>
      <c r="B54" s="179" t="s">
        <v>357</v>
      </c>
      <c r="C54" s="312"/>
      <c r="D54" s="342"/>
      <c r="E54" s="380"/>
      <c r="F54" s="318"/>
      <c r="G54" s="330"/>
    </row>
    <row r="55" spans="1:7" s="307" customFormat="1" ht="46.5" hidden="1" x14ac:dyDescent="0.35">
      <c r="A55" s="315"/>
      <c r="B55" s="179" t="s">
        <v>358</v>
      </c>
      <c r="C55" s="312"/>
      <c r="D55" s="342"/>
      <c r="E55" s="380"/>
      <c r="F55" s="318"/>
      <c r="G55" s="330"/>
    </row>
    <row r="56" spans="1:7" s="307" customFormat="1" ht="46.5" hidden="1" x14ac:dyDescent="0.35">
      <c r="A56" s="315"/>
      <c r="B56" s="179" t="s">
        <v>359</v>
      </c>
      <c r="C56" s="312"/>
      <c r="D56" s="342"/>
      <c r="E56" s="380"/>
      <c r="F56" s="318"/>
      <c r="G56" s="330"/>
    </row>
    <row r="57" spans="1:7" s="307" customFormat="1" ht="29.25" hidden="1" customHeight="1" x14ac:dyDescent="0.35">
      <c r="A57" s="315"/>
      <c r="B57" s="179" t="s">
        <v>360</v>
      </c>
      <c r="C57" s="312"/>
      <c r="D57" s="342"/>
      <c r="E57" s="380"/>
      <c r="F57" s="318"/>
      <c r="G57" s="330"/>
    </row>
    <row r="58" spans="1:7" s="307" customFormat="1" ht="31" hidden="1" x14ac:dyDescent="0.35">
      <c r="A58" s="315"/>
      <c r="B58" s="179" t="s">
        <v>361</v>
      </c>
      <c r="C58" s="312"/>
      <c r="D58" s="342"/>
      <c r="E58" s="380"/>
      <c r="F58" s="318"/>
      <c r="G58" s="330"/>
    </row>
    <row r="59" spans="1:7" s="307" customFormat="1" ht="46.5" hidden="1" x14ac:dyDescent="0.35">
      <c r="A59" s="315"/>
      <c r="B59" s="179" t="s">
        <v>362</v>
      </c>
      <c r="C59" s="312"/>
      <c r="D59" s="342"/>
      <c r="E59" s="380"/>
      <c r="F59" s="318"/>
      <c r="G59" s="330"/>
    </row>
    <row r="60" spans="1:7" s="307" customFormat="1" ht="46.5" hidden="1" x14ac:dyDescent="0.35">
      <c r="A60" s="315"/>
      <c r="B60" s="179" t="s">
        <v>363</v>
      </c>
      <c r="C60" s="312"/>
      <c r="D60" s="342"/>
      <c r="E60" s="380"/>
      <c r="F60" s="318"/>
      <c r="G60" s="330"/>
    </row>
    <row r="61" spans="1:7" s="307" customFormat="1" ht="31" hidden="1" x14ac:dyDescent="0.35">
      <c r="A61" s="315"/>
      <c r="B61" s="179" t="s">
        <v>364</v>
      </c>
      <c r="C61" s="312"/>
      <c r="D61" s="342"/>
      <c r="E61" s="380"/>
      <c r="F61" s="318"/>
      <c r="G61" s="330"/>
    </row>
    <row r="62" spans="1:7" s="307" customFormat="1" ht="31" hidden="1" x14ac:dyDescent="0.35">
      <c r="A62" s="315"/>
      <c r="B62" s="179" t="s">
        <v>365</v>
      </c>
      <c r="C62" s="312"/>
      <c r="D62" s="342"/>
      <c r="E62" s="380"/>
      <c r="F62" s="318"/>
      <c r="G62" s="330"/>
    </row>
    <row r="63" spans="1:7" s="307" customFormat="1" ht="46.5" hidden="1" x14ac:dyDescent="0.35">
      <c r="A63" s="315"/>
      <c r="B63" s="179" t="s">
        <v>366</v>
      </c>
      <c r="C63" s="312"/>
      <c r="D63" s="342"/>
      <c r="E63" s="380"/>
      <c r="F63" s="318"/>
      <c r="G63" s="330"/>
    </row>
    <row r="64" spans="1:7" s="307" customFormat="1" hidden="1" x14ac:dyDescent="0.35">
      <c r="A64" s="315"/>
      <c r="B64" s="311" t="s">
        <v>367</v>
      </c>
      <c r="C64" s="312"/>
      <c r="D64" s="342"/>
      <c r="E64" s="380"/>
      <c r="F64" s="318"/>
      <c r="G64" s="330"/>
    </row>
    <row r="65" spans="1:10" s="304" customFormat="1" ht="22" customHeight="1" x14ac:dyDescent="0.35">
      <c r="A65" s="317" t="s">
        <v>328</v>
      </c>
      <c r="B65" s="564" t="s">
        <v>498</v>
      </c>
      <c r="C65" s="303"/>
      <c r="D65" s="324" t="b">
        <v>0</v>
      </c>
      <c r="E65" s="380">
        <v>5</v>
      </c>
      <c r="F65" s="318">
        <f t="shared" ref="F65" si="1">IF(D65,E65,0)</f>
        <v>0</v>
      </c>
      <c r="G65" s="484"/>
    </row>
    <row r="66" spans="1:10" s="307" customFormat="1" x14ac:dyDescent="0.35">
      <c r="A66" s="315"/>
      <c r="B66" s="311" t="s">
        <v>499</v>
      </c>
      <c r="C66" s="312"/>
      <c r="D66" s="342"/>
      <c r="E66" s="380"/>
      <c r="F66" s="318"/>
      <c r="G66" s="330"/>
    </row>
    <row r="67" spans="1:10" s="307" customFormat="1" x14ac:dyDescent="0.35">
      <c r="A67" s="315"/>
      <c r="B67" s="311" t="s">
        <v>500</v>
      </c>
      <c r="C67" s="312"/>
      <c r="D67" s="342"/>
      <c r="E67" s="380"/>
      <c r="F67" s="318"/>
      <c r="G67" s="330"/>
    </row>
    <row r="68" spans="1:10" s="307" customFormat="1" x14ac:dyDescent="0.35">
      <c r="A68" s="315"/>
      <c r="B68" s="311" t="s">
        <v>504</v>
      </c>
      <c r="C68" s="312"/>
      <c r="D68" s="342"/>
      <c r="E68" s="380"/>
      <c r="F68" s="318"/>
      <c r="G68" s="330"/>
    </row>
    <row r="69" spans="1:10" s="307" customFormat="1" x14ac:dyDescent="0.35">
      <c r="A69" s="315"/>
      <c r="B69" s="311" t="s">
        <v>501</v>
      </c>
      <c r="C69" s="312"/>
      <c r="D69" s="342"/>
      <c r="E69" s="380"/>
      <c r="F69" s="318"/>
      <c r="G69" s="330"/>
    </row>
    <row r="70" spans="1:10" s="307" customFormat="1" x14ac:dyDescent="0.35">
      <c r="A70" s="315"/>
      <c r="B70" s="311" t="s">
        <v>502</v>
      </c>
      <c r="C70" s="312"/>
      <c r="D70" s="342"/>
      <c r="E70" s="380"/>
      <c r="F70" s="318"/>
      <c r="G70" s="330"/>
    </row>
    <row r="71" spans="1:10" s="307" customFormat="1" x14ac:dyDescent="0.35">
      <c r="A71" s="315"/>
      <c r="B71" s="311" t="s">
        <v>503</v>
      </c>
      <c r="C71" s="312"/>
      <c r="D71" s="342"/>
      <c r="E71" s="380"/>
      <c r="F71" s="318"/>
      <c r="G71" s="330"/>
    </row>
    <row r="72" spans="1:10" ht="26.25" customHeight="1" x14ac:dyDescent="0.35">
      <c r="A72" s="622" t="s">
        <v>201</v>
      </c>
      <c r="B72" s="623"/>
      <c r="C72" s="319"/>
      <c r="D72" s="572"/>
      <c r="E72" s="381"/>
      <c r="F72" s="318"/>
      <c r="G72" s="474"/>
    </row>
    <row r="73" spans="1:10" ht="30.75" customHeight="1" x14ac:dyDescent="0.35">
      <c r="A73" s="160" t="s">
        <v>329</v>
      </c>
      <c r="B73" s="506" t="s">
        <v>251</v>
      </c>
      <c r="C73" s="506"/>
      <c r="D73" s="264" t="b">
        <v>0</v>
      </c>
      <c r="E73" s="381">
        <v>10</v>
      </c>
      <c r="F73" s="318">
        <f t="shared" si="0"/>
        <v>0</v>
      </c>
      <c r="G73" s="484"/>
    </row>
    <row r="74" spans="1:10" ht="24" customHeight="1" x14ac:dyDescent="0.35">
      <c r="A74" s="160"/>
      <c r="B74" s="234"/>
      <c r="C74" s="234"/>
      <c r="D74" s="325" t="s">
        <v>325</v>
      </c>
      <c r="E74" s="381"/>
      <c r="F74" s="318"/>
      <c r="G74" s="484"/>
    </row>
    <row r="75" spans="1:10" ht="22.5" customHeight="1" x14ac:dyDescent="0.35">
      <c r="A75" s="160" t="s">
        <v>330</v>
      </c>
      <c r="B75" s="326" t="s">
        <v>202</v>
      </c>
      <c r="C75" s="320">
        <v>1</v>
      </c>
      <c r="D75" s="265" t="b">
        <v>0</v>
      </c>
      <c r="E75" s="381">
        <v>10</v>
      </c>
      <c r="F75" s="318">
        <f t="shared" si="0"/>
        <v>0</v>
      </c>
      <c r="G75" s="484"/>
      <c r="I75" s="140">
        <f>IF(D75,1,0)</f>
        <v>0</v>
      </c>
    </row>
    <row r="76" spans="1:10" ht="30" customHeight="1" x14ac:dyDescent="0.35">
      <c r="A76" s="169"/>
      <c r="B76" s="172"/>
      <c r="C76" s="321" t="s">
        <v>191</v>
      </c>
      <c r="D76" s="265" t="b">
        <v>0</v>
      </c>
      <c r="E76" s="402">
        <f>0.85*E75</f>
        <v>8.5</v>
      </c>
      <c r="F76" s="318">
        <f t="shared" si="0"/>
        <v>0</v>
      </c>
      <c r="G76" s="484"/>
      <c r="H76" s="287" t="str">
        <f>IF(J77&gt;1,"Entry error, select one answer","")</f>
        <v/>
      </c>
      <c r="I76" s="140">
        <f t="shared" ref="I76:I77" si="2">IF(D76,1,0)</f>
        <v>0</v>
      </c>
    </row>
    <row r="77" spans="1:10" ht="22.5" customHeight="1" x14ac:dyDescent="0.35">
      <c r="A77" s="169"/>
      <c r="B77" s="234"/>
      <c r="C77" s="321" t="s">
        <v>192</v>
      </c>
      <c r="D77" s="265" t="b">
        <v>0</v>
      </c>
      <c r="E77" s="402">
        <f>E75*0.75</f>
        <v>7.5</v>
      </c>
      <c r="F77" s="318">
        <f t="shared" si="0"/>
        <v>0</v>
      </c>
      <c r="G77" s="484"/>
      <c r="I77" s="140">
        <f t="shared" si="2"/>
        <v>0</v>
      </c>
      <c r="J77" s="140">
        <f>SUM(I75:I77)</f>
        <v>0</v>
      </c>
    </row>
    <row r="78" spans="1:10" ht="24" customHeight="1" x14ac:dyDescent="0.35">
      <c r="A78" s="160" t="s">
        <v>331</v>
      </c>
      <c r="B78" s="506" t="s">
        <v>252</v>
      </c>
      <c r="C78" s="506"/>
      <c r="D78" s="265" t="b">
        <v>0</v>
      </c>
      <c r="E78" s="381">
        <v>10</v>
      </c>
      <c r="F78" s="318">
        <f t="shared" si="0"/>
        <v>0</v>
      </c>
      <c r="G78" s="484"/>
    </row>
    <row r="79" spans="1:10" ht="24" customHeight="1" x14ac:dyDescent="0.35">
      <c r="A79" s="160"/>
      <c r="B79" s="234"/>
      <c r="C79" s="234"/>
      <c r="D79" s="325" t="s">
        <v>325</v>
      </c>
      <c r="E79" s="381"/>
      <c r="F79" s="318"/>
      <c r="G79" s="484"/>
    </row>
    <row r="80" spans="1:10" ht="21.75" customHeight="1" x14ac:dyDescent="0.35">
      <c r="A80" s="160" t="s">
        <v>71</v>
      </c>
      <c r="B80" s="326" t="s">
        <v>200</v>
      </c>
      <c r="C80" s="320">
        <v>1</v>
      </c>
      <c r="D80" s="265" t="b">
        <v>0</v>
      </c>
      <c r="E80" s="382">
        <v>10</v>
      </c>
      <c r="F80" s="318">
        <f t="shared" si="0"/>
        <v>0</v>
      </c>
      <c r="G80" s="484"/>
      <c r="I80" s="140">
        <f>IF(D80,1,0)</f>
        <v>0</v>
      </c>
    </row>
    <row r="81" spans="1:10" ht="28" customHeight="1" x14ac:dyDescent="0.35">
      <c r="A81" s="169"/>
      <c r="B81" s="172"/>
      <c r="C81" s="321" t="s">
        <v>191</v>
      </c>
      <c r="D81" s="265" t="b">
        <v>0</v>
      </c>
      <c r="E81" s="403">
        <f>0.85*E80</f>
        <v>8.5</v>
      </c>
      <c r="F81" s="318">
        <f t="shared" si="0"/>
        <v>0</v>
      </c>
      <c r="G81" s="484"/>
      <c r="H81" s="287" t="str">
        <f>IF(J82&gt;1,"Entry error, select one answer","")</f>
        <v/>
      </c>
      <c r="I81" s="140">
        <f t="shared" ref="I81:I82" si="3">IF(D81,1,0)</f>
        <v>0</v>
      </c>
    </row>
    <row r="82" spans="1:10" ht="24" customHeight="1" x14ac:dyDescent="0.35">
      <c r="A82" s="169"/>
      <c r="B82" s="234"/>
      <c r="C82" s="321" t="s">
        <v>192</v>
      </c>
      <c r="D82" s="273" t="b">
        <v>0</v>
      </c>
      <c r="E82" s="402">
        <f>E80*0.75</f>
        <v>7.5</v>
      </c>
      <c r="F82" s="318">
        <f t="shared" si="0"/>
        <v>0</v>
      </c>
      <c r="G82" s="484"/>
      <c r="I82" s="140">
        <f t="shared" si="3"/>
        <v>0</v>
      </c>
      <c r="J82" s="140">
        <f>SUM(I80:I82)</f>
        <v>0</v>
      </c>
    </row>
    <row r="83" spans="1:10" customFormat="1" ht="37.5" customHeight="1" thickBot="1" x14ac:dyDescent="0.4">
      <c r="A83" s="35" t="s">
        <v>194</v>
      </c>
      <c r="B83" s="501" t="s">
        <v>229</v>
      </c>
      <c r="C83" s="505"/>
      <c r="D83" s="507" t="b">
        <v>0</v>
      </c>
      <c r="E83" s="383">
        <v>10</v>
      </c>
      <c r="F83" s="318">
        <f t="shared" si="0"/>
        <v>0</v>
      </c>
      <c r="G83" s="484"/>
    </row>
    <row r="84" spans="1:10" ht="16.5" thickTop="1" thickBot="1" x14ac:dyDescent="0.4">
      <c r="A84" s="194"/>
      <c r="B84" s="398"/>
      <c r="C84" s="399"/>
      <c r="D84" s="399"/>
      <c r="G84" s="304"/>
    </row>
    <row r="85" spans="1:10" ht="16" thickBot="1" x14ac:dyDescent="0.4">
      <c r="B85" s="614" t="s">
        <v>32</v>
      </c>
      <c r="C85" s="615"/>
      <c r="D85" s="328">
        <f>F85/E85</f>
        <v>0</v>
      </c>
      <c r="E85" s="189">
        <f>IF(shiptypenum&lt;5,SUM(#REF!)+E75+E78+E80+E83+SUM(E8:E73),IF(shiptypenum=8,SUM(#REF!)+E75+E78+E80+E83+SUM(E8:E73),IF(shiptypenum&gt;10,SUM(E75+E78+E80+E83+SUM(E8:E73)),SUM(E75+E78+E80+E83+SUM(#REF!)+SUM(E8:E73)))))</f>
        <v>99</v>
      </c>
      <c r="F85" s="189">
        <f>SUM(F22:F83)</f>
        <v>0</v>
      </c>
      <c r="G85" s="304"/>
    </row>
    <row r="86" spans="1:10" ht="16.5" customHeight="1" x14ac:dyDescent="0.35">
      <c r="G86" s="304"/>
    </row>
    <row r="87" spans="1:10" ht="16" thickBot="1" x14ac:dyDescent="0.4">
      <c r="G87" s="304"/>
    </row>
    <row r="88" spans="1:10" ht="96.75" customHeight="1" thickBot="1" x14ac:dyDescent="0.4">
      <c r="B88" s="609" t="s">
        <v>48</v>
      </c>
      <c r="C88" s="612"/>
      <c r="D88" s="613"/>
      <c r="G88" s="304"/>
    </row>
    <row r="89" spans="1:10" x14ac:dyDescent="0.35">
      <c r="G89" s="304"/>
    </row>
    <row r="90" spans="1:10" x14ac:dyDescent="0.35">
      <c r="G90" s="304"/>
    </row>
    <row r="91" spans="1:10" x14ac:dyDescent="0.35">
      <c r="G91" s="304"/>
    </row>
  </sheetData>
  <mergeCells count="6">
    <mergeCell ref="A4:C4"/>
    <mergeCell ref="A5:C5"/>
    <mergeCell ref="B88:D88"/>
    <mergeCell ref="B85:C85"/>
    <mergeCell ref="A6:B6"/>
    <mergeCell ref="A72:B72"/>
  </mergeCells>
  <phoneticPr fontId="16" type="noConversion"/>
  <conditionalFormatting sqref="H81">
    <cfRule type="expression" dxfId="7" priority="2">
      <formula>J82&gt;1</formula>
    </cfRule>
  </conditionalFormatting>
  <conditionalFormatting sqref="H76">
    <cfRule type="expression" dxfId="6" priority="1">
      <formula>J77&gt;1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8" r:id="rId4" name="Check Box 28">
              <controlPr defaultSize="0" autoFill="0" autoLine="0" autoPict="0">
                <anchor moveWithCells="1">
                  <from>
                    <xdr:col>3</xdr:col>
                    <xdr:colOff>419100</xdr:colOff>
                    <xdr:row>22</xdr:row>
                    <xdr:rowOff>0</xdr:rowOff>
                  </from>
                  <to>
                    <xdr:col>3</xdr:col>
                    <xdr:colOff>609600</xdr:colOff>
                    <xdr:row>22</xdr:row>
                    <xdr:rowOff>234950</xdr:rowOff>
                  </to>
                </anchor>
              </controlPr>
            </control>
          </mc:Choice>
        </mc:AlternateContent>
        <mc:AlternateContent xmlns:mc="http://schemas.openxmlformats.org/markup-compatibility/2006">
          <mc:Choice Requires="x14">
            <control shapeId="56349" r:id="rId5" name="Check Box 29">
              <controlPr defaultSize="0" autoFill="0" autoLine="0" autoPict="0">
                <anchor moveWithCells="1">
                  <from>
                    <xdr:col>3</xdr:col>
                    <xdr:colOff>488950</xdr:colOff>
                    <xdr:row>29</xdr:row>
                    <xdr:rowOff>0</xdr:rowOff>
                  </from>
                  <to>
                    <xdr:col>3</xdr:col>
                    <xdr:colOff>527050</xdr:colOff>
                    <xdr:row>29</xdr:row>
                    <xdr:rowOff>0</xdr:rowOff>
                  </to>
                </anchor>
              </controlPr>
            </control>
          </mc:Choice>
        </mc:AlternateContent>
        <mc:AlternateContent xmlns:mc="http://schemas.openxmlformats.org/markup-compatibility/2006">
          <mc:Choice Requires="x14">
            <control shapeId="56350" r:id="rId6" name="Check Box 30">
              <controlPr defaultSize="0" autoFill="0" autoLine="0" autoPict="0">
                <anchor moveWithCells="1" sizeWithCells="1">
                  <from>
                    <xdr:col>3</xdr:col>
                    <xdr:colOff>635000</xdr:colOff>
                    <xdr:row>29</xdr:row>
                    <xdr:rowOff>0</xdr:rowOff>
                  </from>
                  <to>
                    <xdr:col>3</xdr:col>
                    <xdr:colOff>679450</xdr:colOff>
                    <xdr:row>29</xdr:row>
                    <xdr:rowOff>0</xdr:rowOff>
                  </to>
                </anchor>
              </controlPr>
            </control>
          </mc:Choice>
        </mc:AlternateContent>
        <mc:AlternateContent xmlns:mc="http://schemas.openxmlformats.org/markup-compatibility/2006">
          <mc:Choice Requires="x14">
            <control shapeId="56351" r:id="rId7" name="Check Box 31">
              <controlPr defaultSize="0" autoFill="0" autoLine="0" autoPict="0">
                <anchor moveWithCells="1">
                  <from>
                    <xdr:col>3</xdr:col>
                    <xdr:colOff>419100</xdr:colOff>
                    <xdr:row>72</xdr:row>
                    <xdr:rowOff>0</xdr:rowOff>
                  </from>
                  <to>
                    <xdr:col>3</xdr:col>
                    <xdr:colOff>660400</xdr:colOff>
                    <xdr:row>72</xdr:row>
                    <xdr:rowOff>234950</xdr:rowOff>
                  </to>
                </anchor>
              </controlPr>
            </control>
          </mc:Choice>
        </mc:AlternateContent>
        <mc:AlternateContent xmlns:mc="http://schemas.openxmlformats.org/markup-compatibility/2006">
          <mc:Choice Requires="x14">
            <control shapeId="56353" r:id="rId8" name="Check Box 33">
              <controlPr defaultSize="0" autoFill="0" autoLine="0" autoPict="0">
                <anchor moveWithCells="1">
                  <from>
                    <xdr:col>3</xdr:col>
                    <xdr:colOff>419100</xdr:colOff>
                    <xdr:row>74</xdr:row>
                    <xdr:rowOff>0</xdr:rowOff>
                  </from>
                  <to>
                    <xdr:col>3</xdr:col>
                    <xdr:colOff>609600</xdr:colOff>
                    <xdr:row>74</xdr:row>
                    <xdr:rowOff>241300</xdr:rowOff>
                  </to>
                </anchor>
              </controlPr>
            </control>
          </mc:Choice>
        </mc:AlternateContent>
        <mc:AlternateContent xmlns:mc="http://schemas.openxmlformats.org/markup-compatibility/2006">
          <mc:Choice Requires="x14">
            <control shapeId="56354" r:id="rId9" name="Check Box 34">
              <controlPr defaultSize="0" autoFill="0" autoLine="0" autoPict="0">
                <anchor moveWithCells="1">
                  <from>
                    <xdr:col>3</xdr:col>
                    <xdr:colOff>419100</xdr:colOff>
                    <xdr:row>82</xdr:row>
                    <xdr:rowOff>0</xdr:rowOff>
                  </from>
                  <to>
                    <xdr:col>3</xdr:col>
                    <xdr:colOff>628650</xdr:colOff>
                    <xdr:row>82</xdr:row>
                    <xdr:rowOff>285750</xdr:rowOff>
                  </to>
                </anchor>
              </controlPr>
            </control>
          </mc:Choice>
        </mc:AlternateContent>
        <mc:AlternateContent xmlns:mc="http://schemas.openxmlformats.org/markup-compatibility/2006">
          <mc:Choice Requires="x14">
            <control shapeId="56367" r:id="rId10" name="Check Box 47">
              <controlPr defaultSize="0" autoFill="0" autoLine="0" autoPict="0">
                <anchor moveWithCells="1">
                  <from>
                    <xdr:col>3</xdr:col>
                    <xdr:colOff>419100</xdr:colOff>
                    <xdr:row>81</xdr:row>
                    <xdr:rowOff>0</xdr:rowOff>
                  </from>
                  <to>
                    <xdr:col>3</xdr:col>
                    <xdr:colOff>609600</xdr:colOff>
                    <xdr:row>82</xdr:row>
                    <xdr:rowOff>0</xdr:rowOff>
                  </to>
                </anchor>
              </controlPr>
            </control>
          </mc:Choice>
        </mc:AlternateContent>
        <mc:AlternateContent xmlns:mc="http://schemas.openxmlformats.org/markup-compatibility/2006">
          <mc:Choice Requires="x14">
            <control shapeId="56414" r:id="rId11" name="Check Box 94">
              <controlPr defaultSize="0" autoFill="0" autoLine="0" autoPict="0">
                <anchor moveWithCells="1">
                  <from>
                    <xdr:col>3</xdr:col>
                    <xdr:colOff>419100</xdr:colOff>
                    <xdr:row>81</xdr:row>
                    <xdr:rowOff>0</xdr:rowOff>
                  </from>
                  <to>
                    <xdr:col>3</xdr:col>
                    <xdr:colOff>584200</xdr:colOff>
                    <xdr:row>81</xdr:row>
                    <xdr:rowOff>241300</xdr:rowOff>
                  </to>
                </anchor>
              </controlPr>
            </control>
          </mc:Choice>
        </mc:AlternateContent>
        <mc:AlternateContent xmlns:mc="http://schemas.openxmlformats.org/markup-compatibility/2006">
          <mc:Choice Requires="x14">
            <control shapeId="56421" r:id="rId12" name="Check Box 101">
              <controlPr defaultSize="0" autoFill="0" autoLine="0" autoPict="0">
                <anchor moveWithCells="1">
                  <from>
                    <xdr:col>3</xdr:col>
                    <xdr:colOff>419100</xdr:colOff>
                    <xdr:row>7</xdr:row>
                    <xdr:rowOff>0</xdr:rowOff>
                  </from>
                  <to>
                    <xdr:col>3</xdr:col>
                    <xdr:colOff>577850</xdr:colOff>
                    <xdr:row>7</xdr:row>
                    <xdr:rowOff>222250</xdr:rowOff>
                  </to>
                </anchor>
              </controlPr>
            </control>
          </mc:Choice>
        </mc:AlternateContent>
        <mc:AlternateContent xmlns:mc="http://schemas.openxmlformats.org/markup-compatibility/2006">
          <mc:Choice Requires="x14">
            <control shapeId="56422" r:id="rId13" name="Check Box 102">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23" r:id="rId14" name="Check Box 103">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24" r:id="rId15" name="Check Box 104">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27" r:id="rId16" name="Check Box 107">
              <controlPr defaultSize="0" autoFill="0" autoLine="0" autoPict="0">
                <anchor moveWithCells="1">
                  <from>
                    <xdr:col>3</xdr:col>
                    <xdr:colOff>419100</xdr:colOff>
                    <xdr:row>80</xdr:row>
                    <xdr:rowOff>88900</xdr:rowOff>
                  </from>
                  <to>
                    <xdr:col>3</xdr:col>
                    <xdr:colOff>660400</xdr:colOff>
                    <xdr:row>80</xdr:row>
                    <xdr:rowOff>254000</xdr:rowOff>
                  </to>
                </anchor>
              </controlPr>
            </control>
          </mc:Choice>
        </mc:AlternateContent>
        <mc:AlternateContent xmlns:mc="http://schemas.openxmlformats.org/markup-compatibility/2006">
          <mc:Choice Requires="x14">
            <control shapeId="56429" r:id="rId17" name="Check Box 109">
              <controlPr defaultSize="0" autoFill="0" autoLine="0" autoPict="0">
                <anchor moveWithCells="1">
                  <from>
                    <xdr:col>3</xdr:col>
                    <xdr:colOff>165100</xdr:colOff>
                    <xdr:row>64</xdr:row>
                    <xdr:rowOff>57150</xdr:rowOff>
                  </from>
                  <to>
                    <xdr:col>3</xdr:col>
                    <xdr:colOff>349250</xdr:colOff>
                    <xdr:row>64</xdr:row>
                    <xdr:rowOff>241300</xdr:rowOff>
                  </to>
                </anchor>
              </controlPr>
            </control>
          </mc:Choice>
        </mc:AlternateContent>
        <mc:AlternateContent xmlns:mc="http://schemas.openxmlformats.org/markup-compatibility/2006">
          <mc:Choice Requires="x14">
            <control shapeId="56430" r:id="rId18" name="Check Box 110">
              <controlPr defaultSize="0" autoFill="0" autoLine="0" autoPict="0">
                <anchor moveWithCells="1">
                  <from>
                    <xdr:col>3</xdr:col>
                    <xdr:colOff>158750</xdr:colOff>
                    <xdr:row>72</xdr:row>
                    <xdr:rowOff>82550</xdr:rowOff>
                  </from>
                  <to>
                    <xdr:col>3</xdr:col>
                    <xdr:colOff>368300</xdr:colOff>
                    <xdr:row>72</xdr:row>
                    <xdr:rowOff>234950</xdr:rowOff>
                  </to>
                </anchor>
              </controlPr>
            </control>
          </mc:Choice>
        </mc:AlternateContent>
        <mc:AlternateContent xmlns:mc="http://schemas.openxmlformats.org/markup-compatibility/2006">
          <mc:Choice Requires="x14">
            <control shapeId="56431" r:id="rId19" name="Check Box 111">
              <controlPr defaultSize="0" autoFill="0" autoLine="0" autoPict="0">
                <anchor moveWithCells="1">
                  <from>
                    <xdr:col>3</xdr:col>
                    <xdr:colOff>400050</xdr:colOff>
                    <xdr:row>74</xdr:row>
                    <xdr:rowOff>88900</xdr:rowOff>
                  </from>
                  <to>
                    <xdr:col>3</xdr:col>
                    <xdr:colOff>609600</xdr:colOff>
                    <xdr:row>74</xdr:row>
                    <xdr:rowOff>241300</xdr:rowOff>
                  </to>
                </anchor>
              </controlPr>
            </control>
          </mc:Choice>
        </mc:AlternateContent>
        <mc:AlternateContent xmlns:mc="http://schemas.openxmlformats.org/markup-compatibility/2006">
          <mc:Choice Requires="x14">
            <control shapeId="56432" r:id="rId20" name="Check Box 112">
              <controlPr defaultSize="0" autoFill="0" autoLine="0" autoPict="0">
                <anchor moveWithCells="1">
                  <from>
                    <xdr:col>3</xdr:col>
                    <xdr:colOff>400050</xdr:colOff>
                    <xdr:row>75</xdr:row>
                    <xdr:rowOff>88900</xdr:rowOff>
                  </from>
                  <to>
                    <xdr:col>3</xdr:col>
                    <xdr:colOff>609600</xdr:colOff>
                    <xdr:row>75</xdr:row>
                    <xdr:rowOff>241300</xdr:rowOff>
                  </to>
                </anchor>
              </controlPr>
            </control>
          </mc:Choice>
        </mc:AlternateContent>
        <mc:AlternateContent xmlns:mc="http://schemas.openxmlformats.org/markup-compatibility/2006">
          <mc:Choice Requires="x14">
            <control shapeId="56433" r:id="rId21" name="Check Box 113">
              <controlPr defaultSize="0" autoFill="0" autoLine="0" autoPict="0">
                <anchor moveWithCells="1">
                  <from>
                    <xdr:col>3</xdr:col>
                    <xdr:colOff>400050</xdr:colOff>
                    <xdr:row>76</xdr:row>
                    <xdr:rowOff>88900</xdr:rowOff>
                  </from>
                  <to>
                    <xdr:col>3</xdr:col>
                    <xdr:colOff>609600</xdr:colOff>
                    <xdr:row>76</xdr:row>
                    <xdr:rowOff>241300</xdr:rowOff>
                  </to>
                </anchor>
              </controlPr>
            </control>
          </mc:Choice>
        </mc:AlternateContent>
        <mc:AlternateContent xmlns:mc="http://schemas.openxmlformats.org/markup-compatibility/2006">
          <mc:Choice Requires="x14">
            <control shapeId="56434" r:id="rId22" name="Check Box 114">
              <controlPr defaultSize="0" autoFill="0" autoLine="0" autoPict="0">
                <anchor moveWithCells="1">
                  <from>
                    <xdr:col>3</xdr:col>
                    <xdr:colOff>400050</xdr:colOff>
                    <xdr:row>77</xdr:row>
                    <xdr:rowOff>88900</xdr:rowOff>
                  </from>
                  <to>
                    <xdr:col>3</xdr:col>
                    <xdr:colOff>609600</xdr:colOff>
                    <xdr:row>77</xdr:row>
                    <xdr:rowOff>241300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G7" sqref="G7:G22"/>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77" t="s">
        <v>1</v>
      </c>
      <c r="B1" s="577"/>
      <c r="C1" s="577"/>
      <c r="G1" s="464" t="s">
        <v>412</v>
      </c>
    </row>
    <row r="2" spans="1:10" x14ac:dyDescent="0.35">
      <c r="A2" s="42"/>
      <c r="B2" s="42"/>
      <c r="C2" s="502" t="s">
        <v>470</v>
      </c>
      <c r="G2" s="465" t="str">
        <f>VLOOKUP(shiptypenum,shiptbl,2,FALSE)</f>
        <v>SSBN/SSGN</v>
      </c>
    </row>
    <row r="3" spans="1:10" ht="18.75" customHeight="1" x14ac:dyDescent="0.35">
      <c r="A3" s="53" t="s">
        <v>44</v>
      </c>
      <c r="B3" s="7"/>
      <c r="C3" s="7"/>
    </row>
    <row r="4" spans="1:10" ht="36.75" customHeight="1" x14ac:dyDescent="0.35">
      <c r="A4" s="209"/>
      <c r="B4" s="71" t="s">
        <v>484</v>
      </c>
      <c r="C4" s="71"/>
      <c r="D4" s="50"/>
      <c r="E4" s="50"/>
      <c r="F4" s="50"/>
      <c r="G4" s="475"/>
    </row>
    <row r="5" spans="1:10" ht="36.75" customHeight="1" x14ac:dyDescent="0.35">
      <c r="B5" s="629" t="s">
        <v>485</v>
      </c>
      <c r="C5" s="629"/>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4"/>
    </row>
    <row r="8" spans="1:10" ht="24" customHeight="1" thickTop="1" x14ac:dyDescent="0.35">
      <c r="A8" s="491" t="s">
        <v>218</v>
      </c>
      <c r="B8" s="500"/>
      <c r="C8" s="458"/>
      <c r="D8" s="22"/>
      <c r="E8" s="22"/>
      <c r="F8" s="22"/>
      <c r="G8" s="474"/>
    </row>
    <row r="9" spans="1:10" ht="54.75" customHeight="1" x14ac:dyDescent="0.35">
      <c r="A9" s="35" t="s">
        <v>2</v>
      </c>
      <c r="B9" s="210" t="s">
        <v>232</v>
      </c>
      <c r="C9" s="264" t="b">
        <v>0</v>
      </c>
      <c r="D9" s="22">
        <v>10</v>
      </c>
      <c r="E9" s="22">
        <f t="shared" ref="E9" si="0">IF(C9,D9,0)</f>
        <v>0</v>
      </c>
      <c r="F9" s="25"/>
      <c r="G9" s="484"/>
    </row>
    <row r="10" spans="1:10" ht="21.75" customHeight="1" x14ac:dyDescent="0.35">
      <c r="A10" s="196" t="s">
        <v>234</v>
      </c>
      <c r="B10" s="151"/>
      <c r="C10" s="285"/>
      <c r="E10" s="22"/>
      <c r="F10" s="25"/>
      <c r="G10" s="474"/>
    </row>
    <row r="11" spans="1:10" ht="51" customHeight="1" x14ac:dyDescent="0.35">
      <c r="A11" s="35" t="s">
        <v>3</v>
      </c>
      <c r="B11" s="45" t="s">
        <v>235</v>
      </c>
      <c r="C11" s="264" t="b">
        <v>0</v>
      </c>
      <c r="D11" s="22">
        <v>8</v>
      </c>
      <c r="E11" s="22">
        <f>IF(C11,D11,0)</f>
        <v>0</v>
      </c>
      <c r="F11" s="25"/>
      <c r="G11" s="484"/>
      <c r="I11" s="144"/>
    </row>
    <row r="12" spans="1:10" ht="55.5" customHeight="1" x14ac:dyDescent="0.35">
      <c r="A12" s="35" t="s">
        <v>33</v>
      </c>
      <c r="B12" s="45" t="s">
        <v>236</v>
      </c>
      <c r="C12" s="264" t="b">
        <v>0</v>
      </c>
      <c r="D12" s="22">
        <v>8</v>
      </c>
      <c r="E12" s="22">
        <f>IF(C12,D12,0)</f>
        <v>0</v>
      </c>
      <c r="F12" s="25"/>
      <c r="G12" s="484"/>
    </row>
    <row r="13" spans="1:10" ht="48.75" customHeight="1" x14ac:dyDescent="0.35">
      <c r="A13" s="35"/>
      <c r="B13" s="56" t="s">
        <v>204</v>
      </c>
      <c r="C13" s="459" t="s">
        <v>466</v>
      </c>
      <c r="D13" s="22"/>
      <c r="E13" s="22"/>
      <c r="F13" s="25"/>
      <c r="G13" s="484"/>
    </row>
    <row r="14" spans="1:10" ht="42" customHeight="1" x14ac:dyDescent="0.35">
      <c r="A14" s="35" t="s">
        <v>34</v>
      </c>
      <c r="B14" s="200" t="s">
        <v>483</v>
      </c>
      <c r="C14" s="264" t="b">
        <v>0</v>
      </c>
      <c r="D14" s="22">
        <v>10</v>
      </c>
      <c r="E14" s="22">
        <f>IF(C14,D14,0)</f>
        <v>0</v>
      </c>
      <c r="F14" s="25"/>
      <c r="G14" s="484"/>
      <c r="I14">
        <f>IF(C14,1,0)</f>
        <v>0</v>
      </c>
    </row>
    <row r="15" spans="1:10" ht="41.25" customHeight="1" x14ac:dyDescent="0.35">
      <c r="A15" s="35"/>
      <c r="B15" s="200" t="s">
        <v>482</v>
      </c>
      <c r="C15" s="264" t="b">
        <v>0</v>
      </c>
      <c r="D15" s="22">
        <v>7.5</v>
      </c>
      <c r="E15" s="22">
        <f>IF(C15,D15,0)</f>
        <v>0</v>
      </c>
      <c r="F15" s="25"/>
      <c r="G15" s="484"/>
      <c r="H15" s="287" t="str">
        <f>IF(J15&gt;1,"Entry error, select one answer","")</f>
        <v/>
      </c>
      <c r="I15">
        <f>IF(C15,1,0)</f>
        <v>0</v>
      </c>
      <c r="J15">
        <f>SUM(I14:I15)</f>
        <v>0</v>
      </c>
    </row>
    <row r="16" spans="1:10" ht="41.25" customHeight="1" x14ac:dyDescent="0.35">
      <c r="A16" s="35"/>
      <c r="B16" s="479" t="s">
        <v>467</v>
      </c>
      <c r="C16" s="264" t="b">
        <v>0</v>
      </c>
      <c r="D16" s="22"/>
      <c r="E16" s="22"/>
      <c r="F16" s="199">
        <f>IF(C16,D18,0)</f>
        <v>0</v>
      </c>
      <c r="G16" s="484"/>
      <c r="I16">
        <f>IF(C16,1,0)</f>
        <v>0</v>
      </c>
    </row>
    <row r="17" spans="1:14" ht="24" customHeight="1" x14ac:dyDescent="0.35">
      <c r="A17" s="31"/>
      <c r="B17" s="282" t="s">
        <v>237</v>
      </c>
      <c r="C17" s="285"/>
      <c r="D17" s="22"/>
      <c r="E17" s="22"/>
      <c r="F17" s="25"/>
      <c r="G17" s="484"/>
    </row>
    <row r="18" spans="1:14" ht="55.5" customHeight="1" x14ac:dyDescent="0.35">
      <c r="A18" s="197" t="s">
        <v>4</v>
      </c>
      <c r="B18" s="283" t="s">
        <v>238</v>
      </c>
      <c r="C18" s="264" t="b">
        <v>0</v>
      </c>
      <c r="D18" s="22">
        <v>5</v>
      </c>
      <c r="E18" s="22">
        <f>IF(C18,D18,0)</f>
        <v>0</v>
      </c>
      <c r="F18" s="25"/>
      <c r="G18" s="484"/>
      <c r="H18" s="287" t="str">
        <f>IF(J18&gt;1,"Skip 5.1.5 if ship has a ship's store","")</f>
        <v/>
      </c>
      <c r="I18">
        <f>IF(C18,1,0)</f>
        <v>0</v>
      </c>
      <c r="J18">
        <f>SUM(I16:I18)</f>
        <v>0</v>
      </c>
    </row>
    <row r="19" spans="1:14" ht="31.5" customHeight="1" x14ac:dyDescent="0.35">
      <c r="A19" s="619" t="s">
        <v>203</v>
      </c>
      <c r="B19" s="620"/>
      <c r="C19" s="285"/>
      <c r="D19" s="22"/>
      <c r="E19" s="22"/>
      <c r="F19" s="22"/>
      <c r="G19" s="484"/>
    </row>
    <row r="20" spans="1:14" ht="45" customHeight="1" x14ac:dyDescent="0.35">
      <c r="A20" s="35" t="s">
        <v>5</v>
      </c>
      <c r="B20" s="490" t="s">
        <v>233</v>
      </c>
      <c r="C20" s="264" t="b">
        <v>0</v>
      </c>
      <c r="D20" s="22">
        <v>5</v>
      </c>
      <c r="E20" s="22">
        <f>IF(C20,D20,0)</f>
        <v>0</v>
      </c>
      <c r="F20" s="25"/>
      <c r="G20" s="484"/>
    </row>
    <row r="21" spans="1:14" ht="45" customHeight="1" thickBot="1" x14ac:dyDescent="0.4">
      <c r="A21" s="35" t="s">
        <v>6</v>
      </c>
      <c r="B21" s="490" t="s">
        <v>231</v>
      </c>
      <c r="C21" s="264" t="b">
        <v>0</v>
      </c>
      <c r="D21" s="22">
        <v>7</v>
      </c>
      <c r="E21" s="22">
        <f>IF(C21,D21,0)</f>
        <v>0</v>
      </c>
      <c r="F21" s="25"/>
      <c r="G21" s="484"/>
    </row>
    <row r="22" spans="1:14" ht="16.5" thickTop="1" thickBot="1" x14ac:dyDescent="0.4">
      <c r="A22" s="74"/>
      <c r="B22" s="400"/>
      <c r="C22" s="8"/>
      <c r="D22" s="22"/>
      <c r="E22" s="22"/>
      <c r="G22" s="485"/>
    </row>
    <row r="23" spans="1:14" ht="16" thickBot="1" x14ac:dyDescent="0.4">
      <c r="B23" s="10" t="s">
        <v>32</v>
      </c>
      <c r="C23" s="252">
        <f>E23/(D23-F23)</f>
        <v>0</v>
      </c>
      <c r="D23" s="22">
        <f>SUM(D18:D21)+D14+D12+D11+D9</f>
        <v>53</v>
      </c>
      <c r="E23" s="22">
        <f>SUM(E9:E21)</f>
        <v>0</v>
      </c>
      <c r="F23" s="22">
        <f>SUM(F9:F21)</f>
        <v>0</v>
      </c>
      <c r="G23" s="485"/>
    </row>
    <row r="24" spans="1:14" ht="16" thickBot="1" x14ac:dyDescent="0.4">
      <c r="G24" s="487"/>
    </row>
    <row r="25" spans="1:14" ht="150.75" customHeight="1" thickBot="1" x14ac:dyDescent="0.4">
      <c r="B25" s="625" t="s">
        <v>46</v>
      </c>
      <c r="C25" s="626"/>
      <c r="G25" s="487"/>
    </row>
    <row r="26" spans="1:14" x14ac:dyDescent="0.35">
      <c r="C26" s="14"/>
    </row>
    <row r="27" spans="1:14" x14ac:dyDescent="0.35">
      <c r="B27" s="15"/>
      <c r="C27" s="14"/>
    </row>
    <row r="28" spans="1:14" ht="14.5" x14ac:dyDescent="0.35">
      <c r="A28" s="627"/>
      <c r="B28" s="628"/>
      <c r="C28" s="628"/>
      <c r="D28" s="628"/>
      <c r="E28" s="628"/>
      <c r="F28" s="628"/>
      <c r="G28" s="628"/>
      <c r="H28" s="628"/>
      <c r="I28" s="628"/>
      <c r="J28" s="628"/>
      <c r="K28" s="628"/>
      <c r="L28" s="628"/>
      <c r="M28" s="628"/>
      <c r="N28" s="628"/>
    </row>
    <row r="29" spans="1:14" x14ac:dyDescent="0.35">
      <c r="B29" s="624"/>
      <c r="C29" s="624"/>
      <c r="D29" s="624"/>
      <c r="E29" s="624"/>
      <c r="F29" s="624"/>
      <c r="G29" s="624"/>
      <c r="H29" s="624"/>
      <c r="I29" s="624"/>
    </row>
    <row r="30" spans="1:14" x14ac:dyDescent="0.35">
      <c r="B30"/>
      <c r="C30"/>
      <c r="D30"/>
    </row>
    <row r="31" spans="1:14" x14ac:dyDescent="0.35">
      <c r="B31" s="624"/>
      <c r="C31" s="624"/>
      <c r="D31" s="624"/>
      <c r="E31" s="624"/>
      <c r="F31" s="624"/>
      <c r="G31" s="624"/>
      <c r="H31" s="624"/>
      <c r="I31" s="624"/>
    </row>
    <row r="32" spans="1:14" x14ac:dyDescent="0.35">
      <c r="B32"/>
      <c r="C32"/>
      <c r="D32"/>
    </row>
    <row r="33" spans="2:9" x14ac:dyDescent="0.35">
      <c r="B33" s="624"/>
      <c r="C33" s="624"/>
      <c r="D33" s="624"/>
      <c r="E33" s="624"/>
      <c r="F33" s="624"/>
      <c r="G33" s="624"/>
      <c r="H33" s="624"/>
      <c r="I33" s="624"/>
    </row>
    <row r="34" spans="2:9" x14ac:dyDescent="0.35">
      <c r="B34"/>
      <c r="C34"/>
      <c r="D34"/>
    </row>
    <row r="35" spans="2:9" x14ac:dyDescent="0.35">
      <c r="B35" s="624"/>
      <c r="C35" s="624"/>
      <c r="D35" s="624"/>
      <c r="E35" s="624"/>
      <c r="F35" s="624"/>
      <c r="G35" s="624"/>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G1" zoomScaleNormal="100" zoomScaleSheetLayoutView="106" workbookViewId="0">
      <selection activeCell="AR5" sqref="AR5"/>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7"/>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7" t="s">
        <v>440</v>
      </c>
      <c r="C3" s="437"/>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8"/>
      <c r="B4" s="100"/>
      <c r="C4" s="514" t="s">
        <v>9</v>
      </c>
      <c r="D4" s="99"/>
      <c r="E4" s="99"/>
      <c r="F4" s="100"/>
      <c r="H4" s="98"/>
      <c r="I4" s="99"/>
      <c r="J4" s="99"/>
      <c r="K4" s="531" t="s">
        <v>10</v>
      </c>
      <c r="L4" s="534" t="s">
        <v>11</v>
      </c>
      <c r="M4" s="514" t="s">
        <v>12</v>
      </c>
      <c r="N4" s="514" t="s">
        <v>13</v>
      </c>
      <c r="O4" s="514" t="s">
        <v>14</v>
      </c>
      <c r="P4" s="99"/>
      <c r="Q4" s="216"/>
      <c r="R4" s="100"/>
      <c r="T4" s="98"/>
      <c r="U4" s="531" t="s">
        <v>66</v>
      </c>
      <c r="V4" s="514" t="s">
        <v>15</v>
      </c>
      <c r="W4" s="514" t="s">
        <v>67</v>
      </c>
      <c r="X4" s="99"/>
      <c r="Y4" s="99"/>
      <c r="Z4" s="100"/>
      <c r="AB4" s="98"/>
      <c r="AC4" s="531" t="s">
        <v>68</v>
      </c>
      <c r="AD4" s="539" t="s">
        <v>73</v>
      </c>
      <c r="AE4" s="99"/>
      <c r="AF4" s="99"/>
      <c r="AG4" s="100"/>
      <c r="AI4" s="98"/>
      <c r="AJ4" s="531" t="s">
        <v>212</v>
      </c>
      <c r="AK4" s="514" t="s">
        <v>69</v>
      </c>
      <c r="AL4" s="99"/>
      <c r="AM4" s="99"/>
      <c r="AN4" s="100"/>
      <c r="AP4" s="98"/>
      <c r="AQ4" s="514" t="s">
        <v>213</v>
      </c>
      <c r="AR4" s="539" t="s">
        <v>239</v>
      </c>
      <c r="AS4" s="99"/>
      <c r="AT4" s="99"/>
      <c r="AU4" s="100"/>
    </row>
    <row r="5" spans="1:47" ht="16" thickBot="1" x14ac:dyDescent="0.4">
      <c r="A5" s="447"/>
      <c r="B5" s="91"/>
      <c r="C5" s="557">
        <f>Q21</f>
        <v>0</v>
      </c>
      <c r="D5" s="538" t="s">
        <v>16</v>
      </c>
      <c r="E5" s="91"/>
      <c r="F5" s="93"/>
      <c r="H5" s="84"/>
      <c r="I5" s="91"/>
      <c r="J5" s="91"/>
      <c r="K5" s="513">
        <f>Y21</f>
        <v>0</v>
      </c>
      <c r="L5" s="535">
        <f>AF21</f>
        <v>0</v>
      </c>
      <c r="M5" s="536">
        <f>AM21</f>
        <v>0</v>
      </c>
      <c r="N5" s="536">
        <f>AT21</f>
        <v>0</v>
      </c>
      <c r="O5" s="537">
        <f>'5.1 Administration'!C23</f>
        <v>0</v>
      </c>
      <c r="P5" s="538" t="s">
        <v>16</v>
      </c>
      <c r="Q5" s="218"/>
      <c r="R5" s="103"/>
      <c r="T5" s="84"/>
      <c r="U5" s="530">
        <f>'1.1 Staffing'!B199</f>
        <v>0</v>
      </c>
      <c r="V5" s="532">
        <f>'1.2 Staff Qualifications'!C13</f>
        <v>0</v>
      </c>
      <c r="W5" s="533">
        <f>'1.3 Staff Training'!C12</f>
        <v>0</v>
      </c>
      <c r="X5" s="102" t="s">
        <v>16</v>
      </c>
      <c r="Y5" s="92"/>
      <c r="Z5" s="103"/>
      <c r="AB5" s="84"/>
      <c r="AC5" s="530">
        <f>'2.1 Square Footage'!D13</f>
        <v>0</v>
      </c>
      <c r="AD5" s="540">
        <f>'2.2 Facility Quality'!C32</f>
        <v>0</v>
      </c>
      <c r="AE5" s="538" t="s">
        <v>16</v>
      </c>
      <c r="AF5" s="92"/>
      <c r="AG5" s="103"/>
      <c r="AI5" s="84"/>
      <c r="AJ5" s="551">
        <f>'3.1 Recreation Programming'!D71</f>
        <v>0</v>
      </c>
      <c r="AK5" s="550">
        <f>'3.2 Fitness Programming'!D68</f>
        <v>0</v>
      </c>
      <c r="AL5" s="538" t="s">
        <v>16</v>
      </c>
      <c r="AM5" s="92"/>
      <c r="AN5" s="103"/>
      <c r="AP5" s="84"/>
      <c r="AQ5" s="549">
        <f>'4.1 Recreation Equipment'!C23</f>
        <v>0</v>
      </c>
      <c r="AR5" s="548">
        <f>'4.2 Fitness Equipment'!D85</f>
        <v>0</v>
      </c>
      <c r="AS5" s="538" t="s">
        <v>16</v>
      </c>
      <c r="AT5" s="92"/>
      <c r="AU5" s="103"/>
    </row>
    <row r="6" spans="1:47" ht="16" thickBot="1" x14ac:dyDescent="0.4">
      <c r="A6" s="447"/>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7"/>
      <c r="B7" s="516"/>
      <c r="C7" s="558">
        <v>1000</v>
      </c>
      <c r="D7" s="104">
        <v>10</v>
      </c>
      <c r="E7" s="91"/>
      <c r="F7" s="93"/>
      <c r="H7" s="84"/>
      <c r="I7" s="91"/>
      <c r="J7" s="91"/>
      <c r="K7" s="416">
        <v>1000</v>
      </c>
      <c r="L7" s="412">
        <v>1000</v>
      </c>
      <c r="M7" s="412">
        <v>1000</v>
      </c>
      <c r="N7" s="412">
        <v>1000</v>
      </c>
      <c r="O7" s="417">
        <v>100</v>
      </c>
      <c r="P7" s="104">
        <v>10</v>
      </c>
      <c r="Q7" s="218"/>
      <c r="R7" s="103"/>
      <c r="T7" s="516"/>
      <c r="U7" s="515">
        <v>100</v>
      </c>
      <c r="V7" s="412">
        <v>100</v>
      </c>
      <c r="W7" s="417">
        <v>100</v>
      </c>
      <c r="X7" s="104">
        <v>10</v>
      </c>
      <c r="Y7" s="92"/>
      <c r="Z7" s="103"/>
      <c r="AB7" s="84"/>
      <c r="AC7" s="416">
        <v>100</v>
      </c>
      <c r="AD7" s="417">
        <v>100</v>
      </c>
      <c r="AE7" s="104">
        <v>10</v>
      </c>
      <c r="AF7" s="92"/>
      <c r="AG7" s="103"/>
      <c r="AI7" s="516"/>
      <c r="AJ7" s="515">
        <v>100</v>
      </c>
      <c r="AK7" s="417">
        <v>100</v>
      </c>
      <c r="AL7" s="104">
        <v>10</v>
      </c>
      <c r="AM7" s="92"/>
      <c r="AN7" s="103"/>
      <c r="AP7" s="516"/>
      <c r="AQ7" s="515">
        <v>100</v>
      </c>
      <c r="AR7" s="417">
        <v>100</v>
      </c>
      <c r="AS7" s="104">
        <v>10</v>
      </c>
      <c r="AT7" s="92"/>
      <c r="AU7" s="103"/>
    </row>
    <row r="8" spans="1:47" x14ac:dyDescent="0.35">
      <c r="A8" s="447"/>
      <c r="B8" s="516"/>
      <c r="C8" s="559">
        <v>900</v>
      </c>
      <c r="D8" s="104">
        <v>9</v>
      </c>
      <c r="F8" s="93"/>
      <c r="H8" s="84"/>
      <c r="I8" s="91"/>
      <c r="J8" s="91"/>
      <c r="K8" s="418">
        <v>900</v>
      </c>
      <c r="L8" s="413">
        <v>900</v>
      </c>
      <c r="M8" s="413">
        <v>900</v>
      </c>
      <c r="N8" s="444">
        <v>900</v>
      </c>
      <c r="O8" s="419">
        <v>90</v>
      </c>
      <c r="P8" s="104">
        <v>9</v>
      </c>
      <c r="Q8" s="219"/>
      <c r="R8" s="103"/>
      <c r="T8" s="516"/>
      <c r="U8" s="444">
        <v>95</v>
      </c>
      <c r="V8" s="413">
        <v>95</v>
      </c>
      <c r="W8" s="528">
        <v>95</v>
      </c>
      <c r="X8" s="104">
        <v>9</v>
      </c>
      <c r="Y8" s="91"/>
      <c r="Z8" s="103"/>
      <c r="AB8" s="84"/>
      <c r="AC8" s="418">
        <v>90</v>
      </c>
      <c r="AD8" s="528">
        <v>90</v>
      </c>
      <c r="AE8" s="104">
        <v>9</v>
      </c>
      <c r="AF8" s="91"/>
      <c r="AG8" s="103"/>
      <c r="AI8" s="516"/>
      <c r="AJ8" s="444">
        <v>95</v>
      </c>
      <c r="AK8" s="528">
        <v>95</v>
      </c>
      <c r="AL8" s="104">
        <v>9</v>
      </c>
      <c r="AM8" s="91"/>
      <c r="AN8" s="103"/>
      <c r="AP8" s="516"/>
      <c r="AQ8" s="444">
        <v>90</v>
      </c>
      <c r="AR8" s="528">
        <v>90</v>
      </c>
      <c r="AS8" s="104">
        <v>9</v>
      </c>
      <c r="AT8" s="91"/>
      <c r="AU8" s="103"/>
    </row>
    <row r="9" spans="1:47" x14ac:dyDescent="0.35">
      <c r="A9" s="447"/>
      <c r="B9" s="516"/>
      <c r="C9" s="559">
        <v>800</v>
      </c>
      <c r="D9" s="104">
        <v>8</v>
      </c>
      <c r="E9" s="91"/>
      <c r="F9" s="93"/>
      <c r="H9" s="84"/>
      <c r="I9" s="91"/>
      <c r="J9" s="91"/>
      <c r="K9" s="418">
        <v>800</v>
      </c>
      <c r="L9" s="413">
        <v>800</v>
      </c>
      <c r="M9" s="413">
        <v>800</v>
      </c>
      <c r="N9" s="413">
        <v>800</v>
      </c>
      <c r="O9" s="419">
        <v>80</v>
      </c>
      <c r="P9" s="104">
        <v>8</v>
      </c>
      <c r="Q9" s="218"/>
      <c r="R9" s="103"/>
      <c r="T9" s="516"/>
      <c r="U9" s="444">
        <v>90</v>
      </c>
      <c r="V9" s="413">
        <v>90</v>
      </c>
      <c r="W9" s="528">
        <v>90</v>
      </c>
      <c r="X9" s="104">
        <v>8</v>
      </c>
      <c r="Y9" s="92"/>
      <c r="Z9" s="103"/>
      <c r="AB9" s="84"/>
      <c r="AC9" s="418">
        <v>80</v>
      </c>
      <c r="AD9" s="528">
        <v>80</v>
      </c>
      <c r="AE9" s="104">
        <v>8</v>
      </c>
      <c r="AF9" s="92"/>
      <c r="AG9" s="103"/>
      <c r="AI9" s="516"/>
      <c r="AJ9" s="444">
        <v>90</v>
      </c>
      <c r="AK9" s="528">
        <v>90</v>
      </c>
      <c r="AL9" s="104">
        <v>8</v>
      </c>
      <c r="AM9" s="92"/>
      <c r="AN9" s="103"/>
      <c r="AP9" s="516"/>
      <c r="AQ9" s="444">
        <v>80</v>
      </c>
      <c r="AR9" s="528">
        <v>80</v>
      </c>
      <c r="AS9" s="104">
        <v>8</v>
      </c>
      <c r="AT9" s="92"/>
      <c r="AU9" s="103"/>
    </row>
    <row r="10" spans="1:47" x14ac:dyDescent="0.35">
      <c r="A10" s="447"/>
      <c r="B10" s="516"/>
      <c r="C10" s="559">
        <v>700</v>
      </c>
      <c r="D10" s="104">
        <v>7</v>
      </c>
      <c r="E10" s="91"/>
      <c r="F10" s="93"/>
      <c r="H10" s="84"/>
      <c r="I10" s="91"/>
      <c r="J10" s="91"/>
      <c r="K10" s="418">
        <v>700</v>
      </c>
      <c r="L10" s="413">
        <v>700</v>
      </c>
      <c r="M10" s="413">
        <v>700</v>
      </c>
      <c r="N10" s="413">
        <v>700</v>
      </c>
      <c r="O10" s="419">
        <v>70</v>
      </c>
      <c r="P10" s="104">
        <v>7</v>
      </c>
      <c r="Q10" s="218"/>
      <c r="R10" s="103"/>
      <c r="T10" s="516"/>
      <c r="U10" s="444">
        <v>85</v>
      </c>
      <c r="V10" s="413">
        <v>85</v>
      </c>
      <c r="W10" s="528">
        <v>85</v>
      </c>
      <c r="X10" s="104">
        <v>7</v>
      </c>
      <c r="Y10" s="92"/>
      <c r="Z10" s="103"/>
      <c r="AB10" s="84"/>
      <c r="AC10" s="418">
        <v>70</v>
      </c>
      <c r="AD10" s="528">
        <v>70</v>
      </c>
      <c r="AE10" s="104">
        <v>7</v>
      </c>
      <c r="AF10" s="92"/>
      <c r="AG10" s="103"/>
      <c r="AI10" s="516"/>
      <c r="AJ10" s="444">
        <v>85</v>
      </c>
      <c r="AK10" s="528">
        <v>85</v>
      </c>
      <c r="AL10" s="104">
        <v>7</v>
      </c>
      <c r="AM10" s="92"/>
      <c r="AN10" s="103"/>
      <c r="AP10" s="516"/>
      <c r="AQ10" s="444">
        <v>70</v>
      </c>
      <c r="AR10" s="528">
        <v>70</v>
      </c>
      <c r="AS10" s="104">
        <v>7</v>
      </c>
      <c r="AT10" s="92"/>
      <c r="AU10" s="103"/>
    </row>
    <row r="11" spans="1:47" x14ac:dyDescent="0.35">
      <c r="A11" s="447"/>
      <c r="B11" s="516"/>
      <c r="C11" s="559">
        <v>600</v>
      </c>
      <c r="D11" s="104">
        <v>6</v>
      </c>
      <c r="E11" s="91"/>
      <c r="F11" s="93"/>
      <c r="H11" s="84"/>
      <c r="I11" s="91"/>
      <c r="J11" s="91"/>
      <c r="K11" s="418">
        <v>600</v>
      </c>
      <c r="L11" s="413">
        <v>600</v>
      </c>
      <c r="M11" s="413">
        <v>600</v>
      </c>
      <c r="N11" s="413">
        <v>600</v>
      </c>
      <c r="O11" s="419">
        <v>60</v>
      </c>
      <c r="P11" s="104">
        <v>6</v>
      </c>
      <c r="Q11" s="218"/>
      <c r="R11" s="103"/>
      <c r="T11" s="516"/>
      <c r="U11" s="444">
        <v>80</v>
      </c>
      <c r="V11" s="413">
        <v>80</v>
      </c>
      <c r="W11" s="528">
        <v>80</v>
      </c>
      <c r="X11" s="104">
        <v>6</v>
      </c>
      <c r="Y11" s="92"/>
      <c r="Z11" s="103"/>
      <c r="AB11" s="84"/>
      <c r="AC11" s="418">
        <v>60</v>
      </c>
      <c r="AD11" s="528">
        <v>60</v>
      </c>
      <c r="AE11" s="104">
        <v>6</v>
      </c>
      <c r="AF11" s="92"/>
      <c r="AG11" s="103"/>
      <c r="AI11" s="516"/>
      <c r="AJ11" s="444">
        <v>80</v>
      </c>
      <c r="AK11" s="528">
        <v>80</v>
      </c>
      <c r="AL11" s="104">
        <v>6</v>
      </c>
      <c r="AM11" s="92"/>
      <c r="AN11" s="103"/>
      <c r="AP11" s="516"/>
      <c r="AQ11" s="444">
        <v>60</v>
      </c>
      <c r="AR11" s="528">
        <v>60</v>
      </c>
      <c r="AS11" s="104">
        <v>6</v>
      </c>
      <c r="AT11" s="92"/>
      <c r="AU11" s="103"/>
    </row>
    <row r="12" spans="1:47" x14ac:dyDescent="0.35">
      <c r="A12" s="447"/>
      <c r="B12" s="516"/>
      <c r="C12" s="559">
        <v>500</v>
      </c>
      <c r="D12" s="104">
        <v>5</v>
      </c>
      <c r="E12" s="91"/>
      <c r="F12" s="93"/>
      <c r="H12" s="84"/>
      <c r="I12" s="91"/>
      <c r="J12" s="91"/>
      <c r="K12" s="418">
        <v>500</v>
      </c>
      <c r="L12" s="413">
        <v>500</v>
      </c>
      <c r="M12" s="413">
        <v>500</v>
      </c>
      <c r="N12" s="413">
        <v>500</v>
      </c>
      <c r="O12" s="419">
        <v>50</v>
      </c>
      <c r="P12" s="104">
        <v>5</v>
      </c>
      <c r="Q12" s="218"/>
      <c r="R12" s="103"/>
      <c r="T12" s="516"/>
      <c r="U12" s="444">
        <v>75</v>
      </c>
      <c r="V12" s="413">
        <v>75</v>
      </c>
      <c r="W12" s="528">
        <v>75</v>
      </c>
      <c r="X12" s="104">
        <v>5</v>
      </c>
      <c r="Y12" s="92"/>
      <c r="Z12" s="103"/>
      <c r="AB12" s="84"/>
      <c r="AC12" s="418">
        <v>50</v>
      </c>
      <c r="AD12" s="528">
        <v>50</v>
      </c>
      <c r="AE12" s="104">
        <v>5</v>
      </c>
      <c r="AF12" s="92"/>
      <c r="AG12" s="103"/>
      <c r="AI12" s="516"/>
      <c r="AJ12" s="444">
        <v>75</v>
      </c>
      <c r="AK12" s="528">
        <v>75</v>
      </c>
      <c r="AL12" s="104">
        <v>5</v>
      </c>
      <c r="AM12" s="92"/>
      <c r="AN12" s="103"/>
      <c r="AP12" s="516"/>
      <c r="AQ12" s="444">
        <v>50</v>
      </c>
      <c r="AR12" s="528">
        <v>50</v>
      </c>
      <c r="AS12" s="104">
        <v>5</v>
      </c>
      <c r="AT12" s="92"/>
      <c r="AU12" s="103"/>
    </row>
    <row r="13" spans="1:47" x14ac:dyDescent="0.35">
      <c r="A13" s="447"/>
      <c r="B13" s="516"/>
      <c r="C13" s="559">
        <v>400</v>
      </c>
      <c r="D13" s="104">
        <v>4</v>
      </c>
      <c r="E13" s="91"/>
      <c r="F13" s="93"/>
      <c r="H13" s="84"/>
      <c r="I13" s="91"/>
      <c r="J13" s="91"/>
      <c r="K13" s="418">
        <v>400</v>
      </c>
      <c r="L13" s="413">
        <v>400</v>
      </c>
      <c r="M13" s="413">
        <v>400</v>
      </c>
      <c r="N13" s="413">
        <v>400</v>
      </c>
      <c r="O13" s="419">
        <v>40</v>
      </c>
      <c r="P13" s="104">
        <v>4</v>
      </c>
      <c r="Q13" s="218"/>
      <c r="R13" s="103"/>
      <c r="T13" s="516"/>
      <c r="U13" s="444">
        <v>70</v>
      </c>
      <c r="V13" s="413">
        <v>70</v>
      </c>
      <c r="W13" s="528">
        <v>70</v>
      </c>
      <c r="X13" s="104">
        <v>4</v>
      </c>
      <c r="Y13" s="92"/>
      <c r="Z13" s="103"/>
      <c r="AB13" s="84"/>
      <c r="AC13" s="418">
        <v>40</v>
      </c>
      <c r="AD13" s="528">
        <v>40</v>
      </c>
      <c r="AE13" s="104">
        <v>4</v>
      </c>
      <c r="AF13" s="92"/>
      <c r="AG13" s="103"/>
      <c r="AI13" s="516"/>
      <c r="AJ13" s="444">
        <v>70</v>
      </c>
      <c r="AK13" s="528">
        <v>70</v>
      </c>
      <c r="AL13" s="104">
        <v>4</v>
      </c>
      <c r="AM13" s="92"/>
      <c r="AN13" s="103"/>
      <c r="AP13" s="516"/>
      <c r="AQ13" s="444">
        <v>40</v>
      </c>
      <c r="AR13" s="528">
        <v>40</v>
      </c>
      <c r="AS13" s="104">
        <v>4</v>
      </c>
      <c r="AT13" s="92"/>
      <c r="AU13" s="103"/>
    </row>
    <row r="14" spans="1:47" x14ac:dyDescent="0.35">
      <c r="A14" s="447"/>
      <c r="B14" s="516"/>
      <c r="C14" s="559">
        <v>300</v>
      </c>
      <c r="D14" s="104">
        <v>3</v>
      </c>
      <c r="E14" s="91"/>
      <c r="F14" s="93"/>
      <c r="H14" s="84"/>
      <c r="I14" s="91"/>
      <c r="J14" s="91"/>
      <c r="K14" s="418">
        <v>300</v>
      </c>
      <c r="L14" s="413">
        <v>300</v>
      </c>
      <c r="M14" s="413">
        <v>300</v>
      </c>
      <c r="N14" s="413">
        <v>300</v>
      </c>
      <c r="O14" s="419">
        <v>30</v>
      </c>
      <c r="P14" s="104">
        <v>3</v>
      </c>
      <c r="Q14" s="218"/>
      <c r="R14" s="103"/>
      <c r="T14" s="516"/>
      <c r="U14" s="444">
        <v>65</v>
      </c>
      <c r="V14" s="413">
        <v>65</v>
      </c>
      <c r="W14" s="528">
        <v>65</v>
      </c>
      <c r="X14" s="104">
        <v>3</v>
      </c>
      <c r="Y14" s="92"/>
      <c r="Z14" s="103"/>
      <c r="AB14" s="84"/>
      <c r="AC14" s="418">
        <v>30</v>
      </c>
      <c r="AD14" s="528">
        <v>30</v>
      </c>
      <c r="AE14" s="104">
        <v>3</v>
      </c>
      <c r="AF14" s="92"/>
      <c r="AG14" s="103"/>
      <c r="AI14" s="516"/>
      <c r="AJ14" s="444">
        <v>65</v>
      </c>
      <c r="AK14" s="528">
        <v>65</v>
      </c>
      <c r="AL14" s="104">
        <v>3</v>
      </c>
      <c r="AM14" s="92"/>
      <c r="AN14" s="103"/>
      <c r="AP14" s="516"/>
      <c r="AQ14" s="444">
        <v>30</v>
      </c>
      <c r="AR14" s="528">
        <v>30</v>
      </c>
      <c r="AS14" s="104">
        <v>3</v>
      </c>
      <c r="AT14" s="92"/>
      <c r="AU14" s="103"/>
    </row>
    <row r="15" spans="1:47" x14ac:dyDescent="0.35">
      <c r="A15" s="447"/>
      <c r="B15" s="516"/>
      <c r="C15" s="559">
        <v>200</v>
      </c>
      <c r="D15" s="104">
        <v>2</v>
      </c>
      <c r="E15" s="91"/>
      <c r="F15" s="93"/>
      <c r="H15" s="84"/>
      <c r="I15" s="91"/>
      <c r="J15" s="91"/>
      <c r="K15" s="418">
        <v>200</v>
      </c>
      <c r="L15" s="413">
        <v>200</v>
      </c>
      <c r="M15" s="413">
        <v>200</v>
      </c>
      <c r="N15" s="413">
        <v>200</v>
      </c>
      <c r="O15" s="419">
        <v>20</v>
      </c>
      <c r="P15" s="104">
        <v>2</v>
      </c>
      <c r="Q15" s="218"/>
      <c r="R15" s="103"/>
      <c r="T15" s="516"/>
      <c r="U15" s="444">
        <v>60</v>
      </c>
      <c r="V15" s="413">
        <v>60</v>
      </c>
      <c r="W15" s="528">
        <v>60</v>
      </c>
      <c r="X15" s="104">
        <v>2</v>
      </c>
      <c r="Y15" s="92"/>
      <c r="Z15" s="103"/>
      <c r="AB15" s="84"/>
      <c r="AC15" s="418">
        <v>20</v>
      </c>
      <c r="AD15" s="528">
        <v>20</v>
      </c>
      <c r="AE15" s="104">
        <v>2</v>
      </c>
      <c r="AF15" s="92"/>
      <c r="AG15" s="103"/>
      <c r="AI15" s="516"/>
      <c r="AJ15" s="444">
        <v>60</v>
      </c>
      <c r="AK15" s="528">
        <v>60</v>
      </c>
      <c r="AL15" s="104">
        <v>2</v>
      </c>
      <c r="AM15" s="92"/>
      <c r="AN15" s="103"/>
      <c r="AP15" s="516"/>
      <c r="AQ15" s="444">
        <v>20</v>
      </c>
      <c r="AR15" s="528">
        <v>20</v>
      </c>
      <c r="AS15" s="104">
        <v>2</v>
      </c>
      <c r="AT15" s="92"/>
      <c r="AU15" s="103"/>
    </row>
    <row r="16" spans="1:47" x14ac:dyDescent="0.35">
      <c r="A16" s="447"/>
      <c r="B16" s="516"/>
      <c r="C16" s="559">
        <v>100</v>
      </c>
      <c r="D16" s="104">
        <v>1</v>
      </c>
      <c r="E16" s="91"/>
      <c r="F16" s="93"/>
      <c r="H16" s="84"/>
      <c r="I16" s="91"/>
      <c r="J16" s="91"/>
      <c r="K16" s="418">
        <v>100</v>
      </c>
      <c r="L16" s="413">
        <v>100</v>
      </c>
      <c r="M16" s="413">
        <v>100</v>
      </c>
      <c r="N16" s="413">
        <v>100</v>
      </c>
      <c r="O16" s="419">
        <v>10</v>
      </c>
      <c r="P16" s="104">
        <v>1</v>
      </c>
      <c r="Q16" s="218"/>
      <c r="R16" s="103"/>
      <c r="T16" s="516"/>
      <c r="U16" s="444">
        <v>55</v>
      </c>
      <c r="V16" s="413">
        <v>55</v>
      </c>
      <c r="W16" s="528">
        <v>55</v>
      </c>
      <c r="X16" s="104">
        <v>1</v>
      </c>
      <c r="Y16" s="92"/>
      <c r="Z16" s="103"/>
      <c r="AB16" s="84"/>
      <c r="AC16" s="418">
        <v>10</v>
      </c>
      <c r="AD16" s="528">
        <v>10</v>
      </c>
      <c r="AE16" s="104">
        <v>1</v>
      </c>
      <c r="AF16" s="92"/>
      <c r="AG16" s="103"/>
      <c r="AI16" s="516"/>
      <c r="AJ16" s="444">
        <v>55</v>
      </c>
      <c r="AK16" s="528">
        <v>55</v>
      </c>
      <c r="AL16" s="104">
        <v>1</v>
      </c>
      <c r="AM16" s="92"/>
      <c r="AN16" s="103"/>
      <c r="AP16" s="516"/>
      <c r="AQ16" s="444">
        <v>10</v>
      </c>
      <c r="AR16" s="528">
        <v>10</v>
      </c>
      <c r="AS16" s="104">
        <v>1</v>
      </c>
      <c r="AT16" s="92"/>
      <c r="AU16" s="103"/>
    </row>
    <row r="17" spans="1:62" ht="16" thickBot="1" x14ac:dyDescent="0.4">
      <c r="A17" s="447"/>
      <c r="B17" s="516"/>
      <c r="C17" s="560">
        <v>0</v>
      </c>
      <c r="D17" s="104">
        <v>0</v>
      </c>
      <c r="E17" s="91"/>
      <c r="F17" s="93"/>
      <c r="H17" s="84"/>
      <c r="I17" s="91"/>
      <c r="J17" s="91"/>
      <c r="K17" s="420">
        <v>0</v>
      </c>
      <c r="L17" s="414">
        <v>0</v>
      </c>
      <c r="M17" s="421">
        <v>0</v>
      </c>
      <c r="N17" s="414">
        <v>0</v>
      </c>
      <c r="O17" s="422">
        <v>0</v>
      </c>
      <c r="P17" s="104">
        <v>0</v>
      </c>
      <c r="Q17" s="218"/>
      <c r="R17" s="103"/>
      <c r="T17" s="516"/>
      <c r="U17" s="421">
        <v>50</v>
      </c>
      <c r="V17" s="414">
        <v>50</v>
      </c>
      <c r="W17" s="529">
        <v>50</v>
      </c>
      <c r="X17" s="104">
        <v>0</v>
      </c>
      <c r="Y17" s="92"/>
      <c r="Z17" s="103"/>
      <c r="AB17" s="84"/>
      <c r="AC17" s="420">
        <v>0</v>
      </c>
      <c r="AD17" s="529">
        <v>0</v>
      </c>
      <c r="AE17" s="104">
        <v>0</v>
      </c>
      <c r="AF17" s="92"/>
      <c r="AG17" s="103"/>
      <c r="AI17" s="516"/>
      <c r="AJ17" s="421">
        <v>50</v>
      </c>
      <c r="AK17" s="529">
        <v>50</v>
      </c>
      <c r="AL17" s="104">
        <v>0</v>
      </c>
      <c r="AM17" s="92"/>
      <c r="AN17" s="103"/>
      <c r="AP17" s="516"/>
      <c r="AQ17" s="421">
        <v>0</v>
      </c>
      <c r="AR17" s="529">
        <v>0</v>
      </c>
      <c r="AS17" s="104">
        <v>0</v>
      </c>
      <c r="AT17" s="92"/>
      <c r="AU17" s="103"/>
    </row>
    <row r="18" spans="1:62" ht="16" thickBot="1" x14ac:dyDescent="0.4">
      <c r="A18" s="447"/>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6"/>
      <c r="AR18" s="219"/>
      <c r="AS18" s="92"/>
      <c r="AT18" s="92">
        <f>SUM(AQ20:AR20)</f>
        <v>100</v>
      </c>
      <c r="AU18" s="103"/>
    </row>
    <row r="19" spans="1:62" ht="16" thickBot="1" x14ac:dyDescent="0.4">
      <c r="A19" s="447"/>
      <c r="B19" s="516"/>
      <c r="C19" s="517">
        <f>C5</f>
        <v>0</v>
      </c>
      <c r="D19" s="92" t="s">
        <v>20</v>
      </c>
      <c r="E19" s="105"/>
      <c r="F19" s="106"/>
      <c r="G19" s="107"/>
      <c r="H19" s="108"/>
      <c r="I19" s="105"/>
      <c r="J19" s="105"/>
      <c r="K19" s="520">
        <f>K5/100</f>
        <v>0</v>
      </c>
      <c r="L19" s="522">
        <f>L5/100</f>
        <v>0</v>
      </c>
      <c r="M19" s="522">
        <f>M5/100</f>
        <v>0</v>
      </c>
      <c r="N19" s="522">
        <f>N5/100</f>
        <v>0</v>
      </c>
      <c r="O19" s="523">
        <f>O5*10</f>
        <v>0</v>
      </c>
      <c r="P19" s="92" t="s">
        <v>20</v>
      </c>
      <c r="Q19" s="219"/>
      <c r="R19" s="106"/>
      <c r="S19" s="107"/>
      <c r="T19" s="108"/>
      <c r="U19" s="438">
        <f>Y71</f>
        <v>0</v>
      </c>
      <c r="V19" s="438">
        <f t="shared" ref="V19:W19" si="0">Z71</f>
        <v>0</v>
      </c>
      <c r="W19" s="439">
        <f t="shared" si="0"/>
        <v>0</v>
      </c>
      <c r="X19" s="92" t="s">
        <v>20</v>
      </c>
      <c r="Y19" s="105"/>
      <c r="Z19" s="106"/>
      <c r="AB19" s="108"/>
      <c r="AC19" s="442">
        <f>AF71</f>
        <v>0</v>
      </c>
      <c r="AD19" s="541">
        <f>AG71</f>
        <v>0</v>
      </c>
      <c r="AE19" s="92" t="s">
        <v>20</v>
      </c>
      <c r="AF19" s="105"/>
      <c r="AG19" s="106"/>
      <c r="AI19" s="108"/>
      <c r="AJ19" s="423">
        <f>AL71</f>
        <v>0</v>
      </c>
      <c r="AK19" s="554">
        <f>AM71</f>
        <v>0</v>
      </c>
      <c r="AL19" s="92"/>
      <c r="AM19" s="105"/>
      <c r="AN19" s="106"/>
      <c r="AP19" s="546"/>
      <c r="AQ19" s="543">
        <f>AS71</f>
        <v>0</v>
      </c>
      <c r="AR19" s="547">
        <f>AT71</f>
        <v>0</v>
      </c>
      <c r="AS19" s="92" t="s">
        <v>20</v>
      </c>
      <c r="AT19" s="105"/>
      <c r="AU19" s="106"/>
    </row>
    <row r="20" spans="1:62" x14ac:dyDescent="0.35">
      <c r="A20" s="447"/>
      <c r="B20" s="516"/>
      <c r="C20" s="519">
        <v>100</v>
      </c>
      <c r="D20" s="92" t="s">
        <v>17</v>
      </c>
      <c r="E20" s="220" t="s">
        <v>70</v>
      </c>
      <c r="F20" s="103"/>
      <c r="G20" s="92"/>
      <c r="H20" s="84"/>
      <c r="I20" s="91"/>
      <c r="J20" s="91"/>
      <c r="K20" s="521">
        <v>25</v>
      </c>
      <c r="L20" s="521">
        <v>15</v>
      </c>
      <c r="M20" s="521">
        <v>30</v>
      </c>
      <c r="N20" s="521">
        <v>25</v>
      </c>
      <c r="O20" s="425">
        <v>5</v>
      </c>
      <c r="P20" s="92" t="s">
        <v>17</v>
      </c>
      <c r="Q20" s="220" t="s">
        <v>18</v>
      </c>
      <c r="R20" s="109"/>
      <c r="S20" s="110"/>
      <c r="T20" s="84"/>
      <c r="U20" s="526">
        <v>40</v>
      </c>
      <c r="V20" s="440">
        <v>20</v>
      </c>
      <c r="W20" s="552">
        <v>40</v>
      </c>
      <c r="X20" s="92" t="s">
        <v>17</v>
      </c>
      <c r="Y20" s="443" t="s">
        <v>18</v>
      </c>
      <c r="Z20" s="109"/>
      <c r="AB20" s="84"/>
      <c r="AC20" s="424">
        <v>60</v>
      </c>
      <c r="AD20" s="542">
        <v>40</v>
      </c>
      <c r="AE20" s="92" t="s">
        <v>17</v>
      </c>
      <c r="AF20" s="443" t="s">
        <v>18</v>
      </c>
      <c r="AG20" s="109"/>
      <c r="AI20" s="84"/>
      <c r="AJ20" s="424">
        <v>50</v>
      </c>
      <c r="AK20" s="425">
        <v>50</v>
      </c>
      <c r="AL20" s="92" t="s">
        <v>17</v>
      </c>
      <c r="AM20" s="443" t="s">
        <v>18</v>
      </c>
      <c r="AN20" s="109"/>
      <c r="AP20" s="516"/>
      <c r="AQ20" s="544">
        <v>50</v>
      </c>
      <c r="AR20" s="542">
        <v>50</v>
      </c>
      <c r="AS20" s="92" t="s">
        <v>17</v>
      </c>
      <c r="AT20" s="220" t="s">
        <v>18</v>
      </c>
      <c r="AU20" s="109"/>
    </row>
    <row r="21" spans="1:62" ht="16" thickBot="1" x14ac:dyDescent="0.4">
      <c r="A21" s="447"/>
      <c r="B21" s="516"/>
      <c r="C21" s="518">
        <f>C19/C20</f>
        <v>0</v>
      </c>
      <c r="D21" s="92" t="s">
        <v>19</v>
      </c>
      <c r="E21" s="445">
        <f>SUM(C21:C21)</f>
        <v>0</v>
      </c>
      <c r="F21" s="112"/>
      <c r="G21" s="113"/>
      <c r="H21" s="84"/>
      <c r="I21" s="91"/>
      <c r="J21" s="91"/>
      <c r="K21" s="426">
        <f>K19*K20</f>
        <v>0</v>
      </c>
      <c r="L21" s="426">
        <f>L19*L20</f>
        <v>0</v>
      </c>
      <c r="M21" s="426">
        <f>M19*M20</f>
        <v>0</v>
      </c>
      <c r="N21" s="525">
        <f>N19*N20</f>
        <v>0</v>
      </c>
      <c r="O21" s="524">
        <f>O19*O20</f>
        <v>0</v>
      </c>
      <c r="P21" s="92" t="s">
        <v>19</v>
      </c>
      <c r="Q21" s="221">
        <f>SUM(K21:O21)</f>
        <v>0</v>
      </c>
      <c r="R21" s="109"/>
      <c r="S21" s="110"/>
      <c r="T21" s="84"/>
      <c r="U21" s="527">
        <f>U19*U20</f>
        <v>0</v>
      </c>
      <c r="V21" s="441">
        <f>V19*V20</f>
        <v>0</v>
      </c>
      <c r="W21" s="553">
        <f>W19*W20</f>
        <v>0</v>
      </c>
      <c r="X21" s="92" t="s">
        <v>19</v>
      </c>
      <c r="Y21" s="111">
        <f>SUM(U21:W21)</f>
        <v>0</v>
      </c>
      <c r="Z21" s="109"/>
      <c r="AB21" s="84"/>
      <c r="AC21" s="426">
        <f>AC19*AC20</f>
        <v>0</v>
      </c>
      <c r="AD21" s="415">
        <f>AD19*AD20</f>
        <v>0</v>
      </c>
      <c r="AE21" s="92" t="s">
        <v>19</v>
      </c>
      <c r="AF21" s="111">
        <f>SUM(AC21:AD21)</f>
        <v>0</v>
      </c>
      <c r="AG21" s="109"/>
      <c r="AI21" s="84"/>
      <c r="AJ21" s="555">
        <f>AJ19*AJ20</f>
        <v>0</v>
      </c>
      <c r="AK21" s="415">
        <f>AK19*AK20</f>
        <v>0</v>
      </c>
      <c r="AL21" s="92" t="s">
        <v>19</v>
      </c>
      <c r="AM21" s="111">
        <f>SUM(AJ21:AK21)</f>
        <v>0</v>
      </c>
      <c r="AN21" s="109"/>
      <c r="AP21" s="516"/>
      <c r="AQ21" s="545">
        <f>AQ19*AQ20</f>
        <v>0</v>
      </c>
      <c r="AR21" s="415">
        <f>AR19*AR20</f>
        <v>0</v>
      </c>
      <c r="AS21" s="92" t="s">
        <v>19</v>
      </c>
      <c r="AT21" s="221">
        <f>SUM(AQ21:AR21)</f>
        <v>0</v>
      </c>
      <c r="AU21" s="109"/>
    </row>
    <row r="22" spans="1:62" ht="16" thickBot="1" x14ac:dyDescent="0.4">
      <c r="A22" s="447"/>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8" customFormat="1" ht="16" thickBot="1" x14ac:dyDescent="0.4">
      <c r="A23" s="630" t="s">
        <v>441</v>
      </c>
      <c r="B23" s="630"/>
      <c r="C23" s="630"/>
      <c r="D23" s="630"/>
      <c r="E23" s="446">
        <f>E21</f>
        <v>0</v>
      </c>
      <c r="F23" s="427"/>
      <c r="H23" s="427"/>
      <c r="I23" s="427"/>
      <c r="J23" s="427"/>
      <c r="K23" s="427"/>
      <c r="L23" s="427"/>
      <c r="M23" s="427"/>
      <c r="N23" s="427"/>
      <c r="O23" s="427"/>
      <c r="P23" s="429"/>
      <c r="Q23" s="429"/>
      <c r="R23" s="429"/>
      <c r="S23" s="429"/>
      <c r="T23" s="430"/>
      <c r="U23" s="427"/>
      <c r="V23" s="427"/>
      <c r="W23" s="427"/>
      <c r="X23" s="427"/>
      <c r="Y23" s="429"/>
      <c r="Z23" s="429"/>
      <c r="AA23" s="429"/>
      <c r="AC23" s="427"/>
      <c r="AD23" s="427"/>
      <c r="AE23" s="427"/>
      <c r="AF23" s="429"/>
      <c r="AG23" s="429"/>
      <c r="AH23" s="429"/>
      <c r="AJ23" s="427"/>
      <c r="AK23" s="427"/>
      <c r="AL23" s="427"/>
      <c r="AM23" s="427"/>
      <c r="AN23" s="427"/>
      <c r="AO23" s="427"/>
      <c r="AP23" s="427"/>
      <c r="AQ23" s="427"/>
      <c r="AR23" s="427"/>
      <c r="AS23" s="427"/>
      <c r="AT23" s="427"/>
      <c r="AU23" s="427"/>
      <c r="AV23" s="429"/>
      <c r="AW23" s="429"/>
      <c r="AX23" s="429"/>
      <c r="AZ23" s="427"/>
      <c r="BA23" s="427"/>
      <c r="BB23" s="427"/>
      <c r="BC23" s="427"/>
      <c r="BD23" s="427"/>
      <c r="BE23" s="427"/>
      <c r="BF23" s="427"/>
      <c r="BG23" s="427"/>
      <c r="BH23" s="429"/>
      <c r="BI23" s="429"/>
      <c r="BJ23" s="429"/>
    </row>
    <row r="24" spans="1:62" s="428" customFormat="1" ht="16" thickBot="1" x14ac:dyDescent="0.4">
      <c r="A24" s="630" t="s">
        <v>442</v>
      </c>
      <c r="B24" s="630"/>
      <c r="C24" s="630"/>
      <c r="D24" s="630"/>
      <c r="E24" s="449" t="str">
        <f>IF(C51=4,"Poor",IF(C51=3,"Good",IF(C51=2,"Better","Best")))</f>
        <v>Poor</v>
      </c>
      <c r="F24" s="427"/>
      <c r="H24" s="427"/>
      <c r="I24" s="427"/>
      <c r="J24" s="427"/>
      <c r="K24" s="427"/>
      <c r="L24" s="427"/>
      <c r="M24" s="427"/>
      <c r="N24" s="427"/>
      <c r="O24" s="427"/>
      <c r="P24" s="429"/>
      <c r="Q24" s="429"/>
      <c r="R24" s="429"/>
      <c r="S24" s="429"/>
      <c r="T24" s="430"/>
      <c r="U24" s="427"/>
      <c r="V24" s="431"/>
      <c r="W24" s="427"/>
      <c r="X24" s="427"/>
      <c r="Y24" s="429"/>
      <c r="Z24" s="429"/>
      <c r="AA24" s="429"/>
      <c r="AC24" s="427"/>
      <c r="AD24" s="427"/>
      <c r="AE24" s="427"/>
      <c r="AF24" s="429"/>
      <c r="AG24" s="429"/>
      <c r="AH24" s="429"/>
      <c r="AJ24" s="427"/>
      <c r="AK24" s="427"/>
      <c r="AL24" s="427"/>
      <c r="AM24" s="427"/>
      <c r="AN24" s="427"/>
      <c r="AO24" s="427"/>
      <c r="AP24" s="427"/>
      <c r="AQ24" s="427"/>
      <c r="AR24" s="427"/>
      <c r="AS24" s="427"/>
      <c r="AT24" s="427"/>
      <c r="AU24" s="431"/>
      <c r="AV24" s="429"/>
      <c r="AW24" s="429"/>
      <c r="AX24" s="429"/>
      <c r="AZ24" s="427"/>
      <c r="BA24" s="427"/>
      <c r="BB24" s="427"/>
      <c r="BC24" s="427"/>
      <c r="BD24" s="427"/>
      <c r="BE24" s="427"/>
      <c r="BF24" s="427"/>
      <c r="BG24" s="427"/>
      <c r="BH24" s="429"/>
      <c r="BI24" s="429"/>
      <c r="BJ24" s="429"/>
    </row>
    <row r="25" spans="1:62" s="428" customFormat="1" x14ac:dyDescent="0.35">
      <c r="B25" s="427"/>
      <c r="C25" s="427"/>
      <c r="D25" s="429"/>
      <c r="E25" s="427"/>
      <c r="F25" s="427"/>
      <c r="H25" s="427"/>
      <c r="I25" s="427"/>
      <c r="J25" s="427"/>
      <c r="K25" s="427"/>
      <c r="L25" s="427"/>
      <c r="M25" s="427"/>
      <c r="N25" s="427"/>
      <c r="O25" s="427"/>
      <c r="P25" s="429"/>
      <c r="Q25" s="429"/>
      <c r="R25" s="429"/>
      <c r="S25" s="429"/>
      <c r="T25" s="430"/>
      <c r="U25" s="427"/>
      <c r="V25" s="427"/>
      <c r="W25" s="427"/>
      <c r="X25" s="427"/>
      <c r="Y25" s="429"/>
      <c r="Z25" s="429"/>
      <c r="AA25" s="429"/>
      <c r="AC25" s="427"/>
      <c r="AD25" s="427"/>
      <c r="AE25" s="427"/>
      <c r="AF25" s="429"/>
      <c r="AG25" s="429"/>
      <c r="AH25" s="429"/>
      <c r="AJ25" s="427"/>
      <c r="AK25" s="432"/>
      <c r="AL25" s="432"/>
      <c r="AM25" s="432"/>
      <c r="AN25" s="432"/>
      <c r="AO25" s="432"/>
      <c r="AP25" s="432"/>
      <c r="AQ25" s="432"/>
      <c r="AR25" s="432"/>
      <c r="AS25" s="432"/>
      <c r="AT25" s="432"/>
      <c r="AU25" s="427"/>
      <c r="AV25" s="429"/>
      <c r="AW25" s="429"/>
      <c r="AX25" s="429"/>
      <c r="AZ25" s="427"/>
      <c r="BA25" s="427"/>
      <c r="BB25" s="427"/>
      <c r="BC25" s="427"/>
      <c r="BD25" s="427"/>
      <c r="BE25" s="427"/>
      <c r="BF25" s="427"/>
      <c r="BG25" s="427"/>
      <c r="BH25" s="429"/>
      <c r="BI25" s="429"/>
      <c r="BJ25" s="429"/>
    </row>
    <row r="26" spans="1:62" s="428" customFormat="1" x14ac:dyDescent="0.35">
      <c r="B26" s="427"/>
      <c r="C26" s="427"/>
      <c r="D26" s="429"/>
      <c r="E26" s="427"/>
      <c r="F26" s="427"/>
      <c r="H26" s="427"/>
      <c r="I26" s="427"/>
      <c r="J26" s="427"/>
      <c r="K26" s="427"/>
      <c r="L26" s="427"/>
      <c r="M26" s="427"/>
      <c r="N26" s="427"/>
      <c r="O26" s="427"/>
      <c r="P26" s="429"/>
      <c r="Q26" s="429"/>
      <c r="R26" s="429"/>
      <c r="S26" s="429"/>
      <c r="T26" s="430"/>
      <c r="U26" s="427"/>
      <c r="V26" s="427"/>
      <c r="W26" s="427"/>
      <c r="X26" s="427"/>
      <c r="Y26" s="429"/>
      <c r="Z26" s="429"/>
      <c r="AA26" s="429"/>
      <c r="AC26" s="427"/>
      <c r="AD26" s="427"/>
      <c r="AE26" s="427"/>
      <c r="AF26" s="429"/>
      <c r="AG26" s="429"/>
      <c r="AH26" s="429"/>
      <c r="AJ26" s="427"/>
      <c r="AK26" s="427"/>
      <c r="AL26" s="427"/>
      <c r="AM26" s="427"/>
      <c r="AN26" s="427"/>
      <c r="AO26" s="427"/>
      <c r="AP26" s="427"/>
      <c r="AQ26" s="427"/>
      <c r="AR26" s="427"/>
      <c r="AS26" s="427"/>
      <c r="AT26" s="427"/>
      <c r="AU26" s="427"/>
      <c r="AV26" s="429"/>
      <c r="AW26" s="429"/>
      <c r="AX26" s="429"/>
      <c r="AZ26" s="427"/>
      <c r="BA26" s="427"/>
      <c r="BB26" s="427"/>
      <c r="BC26" s="427"/>
      <c r="BD26" s="427"/>
      <c r="BE26" s="427"/>
      <c r="BF26" s="427"/>
      <c r="BG26" s="427"/>
      <c r="BH26" s="429"/>
      <c r="BI26" s="429"/>
      <c r="BJ26" s="429"/>
    </row>
    <row r="27" spans="1:62" s="428" customFormat="1" x14ac:dyDescent="0.35">
      <c r="B27" s="433"/>
      <c r="C27" s="427"/>
      <c r="D27" s="429"/>
      <c r="E27" s="427"/>
      <c r="F27" s="427"/>
      <c r="H27" s="427"/>
      <c r="I27" s="427"/>
      <c r="J27" s="427"/>
      <c r="K27" s="427"/>
      <c r="L27" s="427"/>
      <c r="M27" s="427"/>
      <c r="N27" s="427"/>
      <c r="O27" s="427"/>
      <c r="P27" s="429"/>
      <c r="Q27" s="429"/>
      <c r="R27" s="429"/>
      <c r="S27" s="429"/>
      <c r="T27" s="430"/>
      <c r="U27" s="427"/>
      <c r="V27" s="434"/>
      <c r="W27" s="427"/>
      <c r="X27" s="427"/>
      <c r="Y27" s="429"/>
      <c r="Z27" s="429"/>
      <c r="AA27" s="429"/>
      <c r="AC27" s="427"/>
      <c r="AD27" s="427"/>
      <c r="AE27" s="427"/>
      <c r="AF27" s="429"/>
      <c r="AG27" s="429"/>
      <c r="AH27" s="429"/>
      <c r="AJ27" s="427"/>
      <c r="AK27" s="427"/>
      <c r="AL27" s="427"/>
      <c r="AM27" s="427"/>
      <c r="AN27" s="427"/>
      <c r="AO27" s="427"/>
      <c r="AP27" s="427"/>
      <c r="AQ27" s="427"/>
      <c r="AR27" s="427"/>
      <c r="AS27" s="427"/>
      <c r="AT27" s="427"/>
      <c r="AU27" s="427"/>
      <c r="AV27" s="429"/>
      <c r="AW27" s="429"/>
      <c r="AX27" s="429"/>
      <c r="AZ27" s="427"/>
      <c r="BA27" s="427"/>
      <c r="BB27" s="427"/>
      <c r="BC27" s="427"/>
      <c r="BD27" s="427"/>
      <c r="BE27" s="427"/>
      <c r="BF27" s="427"/>
      <c r="BG27" s="427"/>
      <c r="BH27" s="429"/>
      <c r="BI27" s="429"/>
      <c r="BJ27" s="429"/>
    </row>
    <row r="28" spans="1:62" s="428" customFormat="1" hidden="1" x14ac:dyDescent="0.35">
      <c r="B28" s="433"/>
      <c r="C28" s="427"/>
      <c r="D28" s="429"/>
      <c r="E28" s="427"/>
      <c r="F28" s="427"/>
      <c r="H28" s="427"/>
      <c r="I28" s="427"/>
      <c r="J28" s="427"/>
      <c r="K28" s="427"/>
      <c r="L28" s="427"/>
      <c r="M28" s="427"/>
      <c r="N28" s="427"/>
      <c r="O28" s="427"/>
      <c r="P28" s="429"/>
      <c r="Q28" s="429"/>
      <c r="R28" s="429"/>
      <c r="S28" s="429"/>
      <c r="T28" s="430"/>
      <c r="U28" s="427"/>
      <c r="V28" s="427"/>
      <c r="W28" s="427"/>
      <c r="X28" s="427"/>
      <c r="Y28" s="429"/>
      <c r="Z28" s="429"/>
      <c r="AA28" s="429"/>
      <c r="AC28" s="427"/>
      <c r="AD28" s="427"/>
      <c r="AE28" s="427"/>
      <c r="AF28" s="429"/>
      <c r="AG28" s="429"/>
      <c r="AH28" s="429"/>
      <c r="AJ28" s="427"/>
      <c r="AK28" s="427"/>
      <c r="AL28" s="427"/>
      <c r="AM28" s="427"/>
      <c r="AN28" s="427"/>
      <c r="AO28" s="427"/>
      <c r="AP28" s="427"/>
      <c r="AQ28" s="427"/>
      <c r="AR28" s="427"/>
      <c r="AS28" s="427"/>
      <c r="AT28" s="427"/>
      <c r="AU28" s="427"/>
      <c r="AV28" s="429"/>
      <c r="AW28" s="429"/>
      <c r="AX28" s="429"/>
      <c r="AZ28" s="427"/>
      <c r="BA28" s="427"/>
      <c r="BB28" s="427"/>
      <c r="BC28" s="427"/>
      <c r="BD28" s="427"/>
      <c r="BE28" s="427"/>
      <c r="BF28" s="427"/>
      <c r="BG28" s="427"/>
      <c r="BH28" s="429"/>
      <c r="BI28" s="429"/>
      <c r="BJ28" s="429"/>
    </row>
    <row r="29" spans="1:62" s="428" customFormat="1" hidden="1" x14ac:dyDescent="0.35">
      <c r="B29" s="433"/>
      <c r="C29" s="427"/>
      <c r="D29" s="429"/>
      <c r="E29" s="427"/>
      <c r="F29" s="427"/>
      <c r="H29" s="427"/>
      <c r="I29" s="427"/>
      <c r="J29" s="427"/>
      <c r="K29" s="427"/>
      <c r="L29" s="427"/>
      <c r="M29" s="427"/>
      <c r="N29" s="427"/>
      <c r="O29" s="427"/>
      <c r="P29" s="429"/>
      <c r="Q29" s="429"/>
      <c r="R29" s="429"/>
      <c r="S29" s="429"/>
      <c r="T29" s="430"/>
      <c r="U29" s="427"/>
      <c r="V29" s="427"/>
      <c r="W29" s="427"/>
      <c r="X29" s="427"/>
      <c r="Y29" s="429"/>
      <c r="Z29" s="429"/>
      <c r="AA29" s="429"/>
      <c r="AC29" s="427"/>
      <c r="AD29" s="427"/>
      <c r="AE29" s="427"/>
      <c r="AF29" s="429"/>
      <c r="AG29" s="429"/>
      <c r="AH29" s="429"/>
      <c r="AJ29" s="427"/>
      <c r="AK29" s="427"/>
      <c r="AL29" s="427"/>
      <c r="AM29" s="427"/>
      <c r="AN29" s="427"/>
      <c r="AO29" s="427"/>
      <c r="AP29" s="427"/>
      <c r="AQ29" s="427"/>
      <c r="AR29" s="427"/>
      <c r="AS29" s="427"/>
      <c r="AT29" s="427"/>
      <c r="AU29" s="427"/>
      <c r="AV29" s="429"/>
      <c r="AW29" s="429"/>
      <c r="AX29" s="429"/>
      <c r="AZ29" s="427"/>
      <c r="BA29" s="427"/>
      <c r="BB29" s="427"/>
      <c r="BC29" s="427"/>
      <c r="BD29" s="427"/>
      <c r="BE29" s="427"/>
      <c r="BF29" s="427"/>
      <c r="BG29" s="427"/>
      <c r="BH29" s="429"/>
      <c r="BI29" s="429"/>
      <c r="BJ29" s="429"/>
    </row>
    <row r="30" spans="1:62" s="428" customFormat="1" hidden="1" x14ac:dyDescent="0.35">
      <c r="B30" s="433"/>
      <c r="C30" s="427"/>
      <c r="D30" s="429"/>
      <c r="O30" s="427"/>
      <c r="P30" s="429"/>
      <c r="Q30" s="429"/>
      <c r="R30" s="429"/>
      <c r="S30" s="429"/>
      <c r="T30" s="430"/>
      <c r="U30" s="427"/>
      <c r="V30" s="427"/>
      <c r="W30" s="427"/>
      <c r="X30" s="427"/>
      <c r="Y30" s="429"/>
      <c r="Z30" s="429"/>
      <c r="AA30" s="429"/>
      <c r="AC30" s="427"/>
      <c r="AD30" s="427"/>
      <c r="AE30" s="427"/>
      <c r="AF30" s="429"/>
      <c r="AG30" s="429"/>
      <c r="AH30" s="429"/>
      <c r="AJ30" s="427"/>
      <c r="AK30" s="427"/>
      <c r="AL30" s="427"/>
      <c r="AM30" s="427"/>
      <c r="AN30" s="427"/>
      <c r="AO30" s="427"/>
      <c r="AP30" s="427"/>
      <c r="AQ30" s="427"/>
      <c r="AR30" s="427"/>
      <c r="AS30" s="427"/>
      <c r="AT30" s="427"/>
      <c r="AU30" s="427"/>
      <c r="AV30" s="429"/>
      <c r="AW30" s="429"/>
      <c r="AX30" s="429"/>
      <c r="AZ30" s="427"/>
      <c r="BA30" s="427"/>
      <c r="BB30" s="427"/>
      <c r="BC30" s="427"/>
      <c r="BD30" s="427"/>
      <c r="BE30" s="427"/>
      <c r="BF30" s="427"/>
      <c r="BG30" s="427"/>
      <c r="BH30" s="429"/>
      <c r="BI30" s="429"/>
      <c r="BJ30" s="429"/>
    </row>
    <row r="31" spans="1:62" s="428" customFormat="1" hidden="1" x14ac:dyDescent="0.35">
      <c r="B31" s="433"/>
      <c r="C31" s="427"/>
      <c r="E31" s="427"/>
      <c r="F31" s="427"/>
      <c r="G31" s="429"/>
      <c r="H31" s="427"/>
      <c r="I31" s="427"/>
      <c r="K31" s="427"/>
      <c r="L31" s="427"/>
      <c r="M31" s="433"/>
      <c r="N31" s="427"/>
      <c r="O31" s="427"/>
      <c r="P31" s="429"/>
      <c r="Q31" s="429"/>
      <c r="R31" s="429"/>
      <c r="S31" s="429"/>
      <c r="T31" s="430"/>
      <c r="U31" s="427"/>
      <c r="V31" s="427"/>
      <c r="W31" s="427"/>
      <c r="X31" s="427"/>
      <c r="Y31" s="429"/>
      <c r="Z31" s="429"/>
      <c r="AA31" s="429"/>
      <c r="AC31" s="427"/>
      <c r="AD31" s="427"/>
      <c r="AE31" s="427"/>
      <c r="AF31" s="429"/>
      <c r="AG31" s="429"/>
      <c r="AH31" s="429"/>
      <c r="AJ31" s="427"/>
      <c r="AK31" s="427"/>
      <c r="AL31" s="427"/>
      <c r="AM31" s="427"/>
      <c r="AN31" s="427"/>
      <c r="AO31" s="427"/>
      <c r="AP31" s="427"/>
      <c r="AQ31" s="427"/>
      <c r="AR31" s="427"/>
      <c r="AS31" s="427"/>
      <c r="AT31" s="427"/>
      <c r="AU31" s="427"/>
      <c r="AV31" s="429"/>
      <c r="AW31" s="429"/>
      <c r="AX31" s="429"/>
      <c r="AZ31" s="427"/>
      <c r="BA31" s="427"/>
      <c r="BB31" s="427"/>
      <c r="BC31" s="427"/>
      <c r="BD31" s="427"/>
      <c r="BE31" s="427"/>
      <c r="BF31" s="427"/>
      <c r="BG31" s="427"/>
      <c r="BH31" s="429"/>
      <c r="BI31" s="429"/>
      <c r="BJ31" s="429"/>
    </row>
    <row r="32" spans="1:62" s="428" customFormat="1" hidden="1" x14ac:dyDescent="0.35">
      <c r="B32" s="433"/>
      <c r="C32" s="427"/>
      <c r="D32" s="429"/>
      <c r="E32" s="427"/>
      <c r="F32" s="427"/>
      <c r="H32" s="427"/>
      <c r="I32" s="427"/>
      <c r="J32" s="427"/>
      <c r="K32" s="427"/>
      <c r="L32" s="427"/>
      <c r="M32" s="427"/>
      <c r="N32" s="427"/>
      <c r="O32" s="427"/>
      <c r="P32" s="429"/>
      <c r="Q32" s="429"/>
      <c r="R32" s="429"/>
      <c r="S32" s="429"/>
      <c r="T32" s="430"/>
      <c r="U32" s="427"/>
      <c r="V32" s="427"/>
      <c r="W32" s="427"/>
      <c r="X32" s="427"/>
      <c r="Y32" s="429"/>
      <c r="Z32" s="429"/>
      <c r="AA32" s="429"/>
      <c r="AC32" s="427"/>
      <c r="AD32" s="427"/>
      <c r="AE32" s="427"/>
      <c r="AF32" s="429"/>
      <c r="AG32" s="429"/>
      <c r="AH32" s="429"/>
      <c r="AJ32" s="427"/>
      <c r="AK32" s="427"/>
      <c r="AL32" s="427"/>
      <c r="AM32" s="427"/>
      <c r="AN32" s="427"/>
      <c r="AO32" s="427"/>
      <c r="AP32" s="427"/>
      <c r="AQ32" s="427"/>
      <c r="AR32" s="427"/>
      <c r="AS32" s="427"/>
      <c r="AT32" s="427"/>
      <c r="AU32" s="427"/>
      <c r="AV32" s="429"/>
      <c r="AW32" s="429"/>
      <c r="AX32" s="429"/>
      <c r="AZ32" s="427"/>
      <c r="BA32" s="427"/>
      <c r="BB32" s="427"/>
      <c r="BC32" s="427"/>
      <c r="BD32" s="427"/>
      <c r="BE32" s="427"/>
      <c r="BF32" s="427"/>
      <c r="BG32" s="427"/>
      <c r="BH32" s="429"/>
      <c r="BI32" s="429"/>
      <c r="BJ32" s="429"/>
    </row>
    <row r="33" spans="1:62" s="428" customFormat="1" hidden="1" x14ac:dyDescent="0.35">
      <c r="B33" s="433"/>
      <c r="C33" s="427"/>
      <c r="D33" s="429"/>
      <c r="E33" s="427"/>
      <c r="F33" s="427"/>
      <c r="H33" s="427"/>
      <c r="I33" s="427"/>
      <c r="J33" s="427"/>
      <c r="K33" s="427"/>
      <c r="L33" s="427"/>
      <c r="M33" s="433"/>
      <c r="N33" s="427"/>
      <c r="O33" s="427"/>
      <c r="P33" s="429"/>
      <c r="Q33" s="429"/>
      <c r="R33" s="429"/>
      <c r="S33" s="429"/>
      <c r="T33" s="430"/>
      <c r="U33" s="427"/>
      <c r="V33" s="427"/>
      <c r="W33" s="427"/>
      <c r="X33" s="427"/>
      <c r="Y33" s="429"/>
      <c r="Z33" s="429"/>
      <c r="AA33" s="429"/>
      <c r="AC33" s="427"/>
      <c r="AD33" s="427"/>
      <c r="AE33" s="427"/>
      <c r="AF33" s="429"/>
      <c r="AG33" s="429"/>
      <c r="AH33" s="429"/>
      <c r="AJ33" s="427"/>
      <c r="AK33" s="427"/>
      <c r="AL33" s="427"/>
      <c r="AM33" s="427"/>
      <c r="AN33" s="427"/>
      <c r="AO33" s="427"/>
      <c r="AP33" s="427"/>
      <c r="AQ33" s="427"/>
      <c r="AR33" s="427"/>
      <c r="AS33" s="427"/>
      <c r="AT33" s="427"/>
      <c r="AU33" s="427"/>
      <c r="AV33" s="429"/>
      <c r="AW33" s="429"/>
      <c r="AX33" s="429"/>
      <c r="AZ33" s="427"/>
      <c r="BA33" s="427"/>
      <c r="BB33" s="427"/>
      <c r="BC33" s="427"/>
      <c r="BD33" s="427"/>
      <c r="BE33" s="427"/>
      <c r="BF33" s="427"/>
      <c r="BG33" s="427"/>
      <c r="BH33" s="429"/>
      <c r="BI33" s="429"/>
      <c r="BJ33" s="429"/>
    </row>
    <row r="34" spans="1:62" s="428" customFormat="1" hidden="1" x14ac:dyDescent="0.35">
      <c r="B34" s="433"/>
      <c r="C34" s="427"/>
      <c r="D34" s="429"/>
      <c r="E34" s="427"/>
      <c r="F34" s="427"/>
      <c r="H34" s="427"/>
      <c r="I34" s="427"/>
      <c r="J34" s="427"/>
      <c r="K34" s="427"/>
      <c r="L34" s="427"/>
      <c r="M34" s="427"/>
      <c r="N34" s="427"/>
      <c r="O34" s="427"/>
      <c r="P34" s="429"/>
      <c r="Q34" s="429"/>
      <c r="R34" s="429"/>
      <c r="S34" s="429"/>
      <c r="T34" s="430"/>
      <c r="U34" s="427"/>
      <c r="V34" s="427"/>
      <c r="W34" s="427"/>
      <c r="X34" s="427"/>
      <c r="Y34" s="429"/>
      <c r="Z34" s="429"/>
      <c r="AA34" s="429"/>
      <c r="AC34" s="427"/>
      <c r="AD34" s="427"/>
      <c r="AE34" s="427"/>
      <c r="AF34" s="429"/>
      <c r="AG34" s="429"/>
      <c r="AH34" s="429"/>
      <c r="AJ34" s="427"/>
      <c r="AK34" s="427"/>
      <c r="AL34" s="427"/>
      <c r="AM34" s="427"/>
      <c r="AN34" s="427"/>
      <c r="AO34" s="427"/>
      <c r="AP34" s="427"/>
      <c r="AQ34" s="427"/>
      <c r="AR34" s="427"/>
      <c r="AS34" s="427"/>
      <c r="AT34" s="427"/>
      <c r="AU34" s="427"/>
      <c r="AV34" s="429"/>
      <c r="AW34" s="429"/>
      <c r="AX34" s="429"/>
      <c r="AZ34" s="427"/>
      <c r="BA34" s="427"/>
      <c r="BB34" s="427"/>
      <c r="BC34" s="427"/>
      <c r="BD34" s="427"/>
      <c r="BE34" s="427"/>
      <c r="BF34" s="427"/>
      <c r="BG34" s="427"/>
      <c r="BH34" s="429"/>
      <c r="BI34" s="429"/>
      <c r="BJ34" s="429"/>
    </row>
    <row r="35" spans="1:62" s="428" customFormat="1" hidden="1" x14ac:dyDescent="0.35">
      <c r="D35" s="430"/>
      <c r="K35" s="427"/>
      <c r="L35" s="427"/>
      <c r="M35" s="427"/>
      <c r="N35" s="427"/>
      <c r="O35" s="427"/>
      <c r="P35" s="429"/>
      <c r="Q35" s="429"/>
      <c r="R35" s="429"/>
      <c r="S35" s="429"/>
      <c r="T35" s="430"/>
      <c r="U35" s="427"/>
      <c r="V35" s="427"/>
      <c r="W35" s="427"/>
      <c r="X35" s="427"/>
      <c r="Y35" s="429"/>
      <c r="Z35" s="429"/>
      <c r="AA35" s="429"/>
      <c r="AC35" s="427"/>
      <c r="AD35" s="427"/>
      <c r="AE35" s="427"/>
      <c r="AF35" s="429"/>
      <c r="AG35" s="429"/>
      <c r="AH35" s="429"/>
      <c r="AJ35" s="427"/>
      <c r="AK35" s="427"/>
      <c r="AL35" s="427"/>
      <c r="AM35" s="427"/>
      <c r="AN35" s="427"/>
      <c r="AO35" s="427"/>
      <c r="AP35" s="427"/>
      <c r="AQ35" s="427"/>
      <c r="AR35" s="427"/>
      <c r="AS35" s="427"/>
      <c r="AT35" s="427"/>
      <c r="AU35" s="427"/>
      <c r="AV35" s="429"/>
      <c r="AW35" s="429"/>
      <c r="AX35" s="429"/>
      <c r="AZ35" s="427"/>
      <c r="BA35" s="427"/>
      <c r="BB35" s="427"/>
      <c r="BC35" s="427"/>
      <c r="BD35" s="427"/>
      <c r="BE35" s="427"/>
      <c r="BF35" s="427"/>
      <c r="BG35" s="427"/>
      <c r="BH35" s="429"/>
      <c r="BI35" s="429"/>
      <c r="BJ35" s="429"/>
    </row>
    <row r="36" spans="1:62" s="428" customFormat="1" hidden="1" x14ac:dyDescent="0.35">
      <c r="B36" s="427"/>
      <c r="C36" s="427"/>
      <c r="D36" s="429"/>
      <c r="E36" s="427"/>
      <c r="F36" s="427"/>
      <c r="H36" s="427"/>
      <c r="I36" s="427"/>
      <c r="J36" s="427"/>
      <c r="K36" s="427"/>
      <c r="L36" s="427"/>
      <c r="M36" s="427"/>
      <c r="N36" s="427"/>
      <c r="O36" s="427"/>
      <c r="P36" s="429"/>
      <c r="Q36" s="429"/>
      <c r="R36" s="429"/>
      <c r="S36" s="429"/>
      <c r="T36" s="430"/>
      <c r="U36" s="427"/>
      <c r="V36" s="427"/>
      <c r="W36" s="427"/>
      <c r="X36" s="427"/>
      <c r="Y36" s="429"/>
      <c r="Z36" s="429"/>
      <c r="AA36" s="429"/>
      <c r="AC36" s="427"/>
      <c r="AD36" s="427"/>
      <c r="AE36" s="427"/>
      <c r="AF36" s="429"/>
      <c r="AG36" s="429"/>
      <c r="AH36" s="429"/>
      <c r="AJ36" s="427"/>
      <c r="AK36" s="427"/>
      <c r="AL36" s="427"/>
      <c r="AM36" s="427"/>
      <c r="AN36" s="427"/>
      <c r="AO36" s="427"/>
      <c r="AP36" s="427"/>
      <c r="AQ36" s="427"/>
      <c r="AR36" s="427"/>
      <c r="AS36" s="427"/>
      <c r="AT36" s="427"/>
      <c r="AU36" s="427"/>
      <c r="AV36" s="429"/>
      <c r="AW36" s="429"/>
      <c r="AX36" s="429"/>
      <c r="AZ36" s="427"/>
      <c r="BA36" s="427"/>
      <c r="BB36" s="427"/>
      <c r="BC36" s="427"/>
      <c r="BD36" s="427"/>
      <c r="BE36" s="427"/>
      <c r="BF36" s="427"/>
      <c r="BG36" s="427"/>
      <c r="BH36" s="429"/>
      <c r="BI36" s="429"/>
      <c r="BJ36" s="429"/>
    </row>
    <row r="37" spans="1:62" s="428" customFormat="1" hidden="1" x14ac:dyDescent="0.35">
      <c r="B37" s="427"/>
      <c r="C37" s="427"/>
      <c r="D37" s="429"/>
      <c r="E37" s="427"/>
      <c r="F37" s="427"/>
      <c r="H37" s="427"/>
      <c r="I37" s="427"/>
      <c r="J37" s="427"/>
      <c r="K37" s="427"/>
      <c r="L37" s="427"/>
      <c r="M37" s="427"/>
      <c r="N37" s="427"/>
      <c r="O37" s="427"/>
      <c r="P37" s="429"/>
      <c r="Q37" s="429"/>
      <c r="R37" s="429"/>
      <c r="S37" s="429"/>
      <c r="T37" s="430"/>
      <c r="U37" s="427"/>
      <c r="V37" s="427"/>
      <c r="W37" s="427"/>
      <c r="X37" s="427"/>
      <c r="Y37" s="429"/>
      <c r="Z37" s="429"/>
      <c r="AA37" s="429"/>
      <c r="AC37" s="427"/>
      <c r="AD37" s="427"/>
      <c r="AE37" s="427"/>
      <c r="AF37" s="429"/>
      <c r="AG37" s="429"/>
      <c r="AH37" s="429"/>
      <c r="AJ37" s="427"/>
      <c r="AK37" s="427"/>
      <c r="AL37" s="427"/>
      <c r="AM37" s="427"/>
      <c r="AN37" s="427"/>
      <c r="AO37" s="427"/>
      <c r="AP37" s="427"/>
      <c r="AQ37" s="427"/>
      <c r="AR37" s="427"/>
      <c r="AS37" s="427"/>
      <c r="AT37" s="427"/>
      <c r="AU37" s="427"/>
      <c r="AV37" s="429"/>
      <c r="AW37" s="429"/>
      <c r="AX37" s="429"/>
      <c r="AZ37" s="427"/>
      <c r="BA37" s="427"/>
      <c r="BB37" s="427"/>
      <c r="BC37" s="427"/>
      <c r="BD37" s="427"/>
      <c r="BE37" s="427"/>
      <c r="BF37" s="427"/>
      <c r="BG37" s="427"/>
      <c r="BH37" s="429"/>
      <c r="BI37" s="429"/>
      <c r="BJ37" s="429"/>
    </row>
    <row r="38" spans="1:62" s="428" customFormat="1" hidden="1" x14ac:dyDescent="0.35">
      <c r="B38" s="427"/>
      <c r="C38" s="427"/>
      <c r="D38" s="429"/>
      <c r="E38" s="427"/>
      <c r="F38" s="427"/>
      <c r="H38" s="427"/>
      <c r="I38" s="427"/>
      <c r="J38" s="427"/>
      <c r="K38" s="427"/>
      <c r="L38" s="427"/>
      <c r="M38" s="427"/>
      <c r="N38" s="427"/>
      <c r="O38" s="427"/>
      <c r="P38" s="429"/>
      <c r="Q38" s="429"/>
      <c r="R38" s="429"/>
      <c r="S38" s="429"/>
      <c r="T38" s="430"/>
      <c r="U38" s="427"/>
      <c r="V38" s="427"/>
      <c r="W38" s="427"/>
      <c r="X38" s="427"/>
      <c r="Y38" s="429"/>
      <c r="Z38" s="429"/>
      <c r="AA38" s="429"/>
      <c r="AC38" s="427"/>
      <c r="AD38" s="427"/>
      <c r="AE38" s="427"/>
      <c r="AF38" s="429"/>
      <c r="AG38" s="429"/>
      <c r="AH38" s="429"/>
      <c r="AJ38" s="427"/>
      <c r="AK38" s="427"/>
      <c r="AL38" s="427"/>
      <c r="AM38" s="427"/>
      <c r="AN38" s="427"/>
      <c r="AO38" s="427"/>
      <c r="AP38" s="427"/>
      <c r="AQ38" s="427"/>
      <c r="AR38" s="427"/>
      <c r="AS38" s="427"/>
      <c r="AT38" s="427"/>
      <c r="AU38" s="427"/>
      <c r="AV38" s="429"/>
      <c r="AW38" s="429"/>
      <c r="AX38" s="429"/>
      <c r="AZ38" s="427"/>
      <c r="BA38" s="427"/>
      <c r="BB38" s="427"/>
      <c r="BC38" s="427"/>
      <c r="BD38" s="427"/>
      <c r="BE38" s="427"/>
      <c r="BF38" s="427"/>
      <c r="BG38" s="427"/>
      <c r="BH38" s="429"/>
      <c r="BI38" s="429"/>
      <c r="BJ38" s="429"/>
    </row>
    <row r="39" spans="1:62" s="428" customFormat="1" hidden="1" x14ac:dyDescent="0.35">
      <c r="B39" s="427"/>
      <c r="C39" s="427"/>
      <c r="D39" s="429"/>
      <c r="E39" s="427"/>
      <c r="F39" s="427"/>
      <c r="H39" s="427"/>
      <c r="I39" s="427"/>
      <c r="J39" s="427"/>
      <c r="K39" s="427"/>
      <c r="L39" s="427"/>
      <c r="M39" s="427"/>
      <c r="N39" s="427"/>
      <c r="O39" s="427"/>
      <c r="P39" s="429"/>
      <c r="Q39" s="429"/>
      <c r="R39" s="429"/>
      <c r="S39" s="429"/>
      <c r="T39" s="430"/>
      <c r="U39" s="427"/>
      <c r="V39" s="427"/>
      <c r="W39" s="427"/>
      <c r="X39" s="427"/>
      <c r="Y39" s="429"/>
      <c r="Z39" s="429"/>
      <c r="AA39" s="429"/>
      <c r="AC39" s="427"/>
      <c r="AD39" s="427"/>
      <c r="AE39" s="427"/>
      <c r="AF39" s="429"/>
      <c r="AG39" s="429"/>
      <c r="AH39" s="429"/>
      <c r="AJ39" s="427"/>
      <c r="AK39" s="427"/>
      <c r="AL39" s="427"/>
      <c r="AM39" s="427"/>
      <c r="AN39" s="427"/>
      <c r="AO39" s="427"/>
      <c r="AP39" s="427"/>
      <c r="AQ39" s="427"/>
      <c r="AR39" s="427"/>
      <c r="AS39" s="427"/>
      <c r="AT39" s="427"/>
      <c r="AU39" s="427"/>
      <c r="AV39" s="429"/>
      <c r="AW39" s="429"/>
      <c r="AX39" s="429"/>
      <c r="AZ39" s="427"/>
      <c r="BA39" s="427"/>
      <c r="BB39" s="427"/>
      <c r="BC39" s="427"/>
      <c r="BD39" s="427"/>
      <c r="BE39" s="427"/>
      <c r="BF39" s="427"/>
      <c r="BG39" s="427"/>
      <c r="BH39" s="429"/>
      <c r="BI39" s="429"/>
      <c r="BJ39" s="429"/>
    </row>
    <row r="40" spans="1:62" s="428" customFormat="1" hidden="1" x14ac:dyDescent="0.35">
      <c r="B40" s="427"/>
      <c r="C40" s="427"/>
      <c r="D40" s="429"/>
      <c r="E40" s="427"/>
      <c r="F40" s="427"/>
      <c r="H40" s="427"/>
      <c r="I40" s="427"/>
      <c r="J40" s="427"/>
      <c r="K40" s="427"/>
      <c r="L40" s="427"/>
      <c r="M40" s="427"/>
      <c r="N40" s="427"/>
      <c r="O40" s="427"/>
      <c r="P40" s="429"/>
      <c r="Q40" s="429"/>
      <c r="R40" s="429"/>
      <c r="S40" s="429"/>
      <c r="T40" s="430"/>
      <c r="U40" s="427"/>
      <c r="V40" s="427"/>
      <c r="W40" s="427"/>
      <c r="X40" s="427"/>
      <c r="Y40" s="429"/>
      <c r="Z40" s="429"/>
      <c r="AA40" s="429"/>
      <c r="AC40" s="427"/>
      <c r="AD40" s="427"/>
      <c r="AE40" s="427"/>
      <c r="AF40" s="429"/>
      <c r="AG40" s="429"/>
      <c r="AH40" s="429"/>
      <c r="AJ40" s="427"/>
      <c r="AK40" s="427"/>
      <c r="AL40" s="427"/>
      <c r="AM40" s="427"/>
      <c r="AN40" s="427"/>
      <c r="AO40" s="427"/>
      <c r="AP40" s="427"/>
      <c r="AQ40" s="427"/>
      <c r="AR40" s="427"/>
      <c r="AS40" s="427"/>
      <c r="AT40" s="427"/>
      <c r="AU40" s="427"/>
      <c r="AV40" s="429"/>
      <c r="AW40" s="429"/>
      <c r="AX40" s="429"/>
      <c r="AZ40" s="427"/>
      <c r="BA40" s="427"/>
      <c r="BB40" s="427"/>
      <c r="BC40" s="427"/>
      <c r="BD40" s="427"/>
      <c r="BE40" s="427"/>
      <c r="BF40" s="427"/>
      <c r="BG40" s="427"/>
      <c r="BH40" s="429"/>
      <c r="BI40" s="429"/>
      <c r="BJ40" s="429"/>
    </row>
    <row r="41" spans="1:62" s="428" customFormat="1" hidden="1" x14ac:dyDescent="0.35">
      <c r="B41" s="427"/>
      <c r="C41" s="427"/>
      <c r="D41" s="429"/>
      <c r="E41" s="427"/>
      <c r="F41" s="427"/>
      <c r="H41" s="427"/>
      <c r="I41" s="427"/>
      <c r="J41" s="427"/>
      <c r="K41" s="427"/>
      <c r="L41" s="427"/>
      <c r="M41" s="427"/>
      <c r="N41" s="427"/>
      <c r="O41" s="427"/>
      <c r="P41" s="429"/>
      <c r="Q41" s="429"/>
      <c r="R41" s="429"/>
      <c r="S41" s="429"/>
      <c r="T41" s="430"/>
      <c r="U41" s="427"/>
      <c r="V41" s="427"/>
      <c r="W41" s="427"/>
      <c r="X41" s="427"/>
      <c r="Y41" s="429"/>
      <c r="Z41" s="429"/>
      <c r="AA41" s="429"/>
      <c r="AC41" s="427"/>
      <c r="AD41" s="427"/>
      <c r="AE41" s="427"/>
      <c r="AF41" s="429"/>
      <c r="AG41" s="429"/>
      <c r="AH41" s="429"/>
      <c r="AJ41" s="427"/>
      <c r="AK41" s="427"/>
      <c r="AL41" s="427"/>
      <c r="AM41" s="427"/>
      <c r="AN41" s="427"/>
      <c r="AO41" s="427"/>
      <c r="AP41" s="427"/>
      <c r="AQ41" s="427"/>
      <c r="AR41" s="427"/>
      <c r="AS41" s="427"/>
      <c r="AT41" s="427"/>
      <c r="AU41" s="427"/>
      <c r="AV41" s="429"/>
      <c r="AW41" s="429"/>
      <c r="AX41" s="429"/>
      <c r="AZ41" s="427"/>
      <c r="BA41" s="427"/>
      <c r="BB41" s="427"/>
      <c r="BC41" s="427"/>
      <c r="BD41" s="427"/>
      <c r="BE41" s="427"/>
      <c r="BF41" s="427"/>
      <c r="BG41" s="427"/>
      <c r="BH41" s="429"/>
      <c r="BI41" s="429"/>
      <c r="BJ41" s="429"/>
    </row>
    <row r="42" spans="1:62" s="428" customFormat="1" hidden="1" x14ac:dyDescent="0.35">
      <c r="B42" s="427"/>
      <c r="C42" s="427"/>
      <c r="D42" s="429"/>
      <c r="E42" s="427"/>
      <c r="F42" s="427"/>
      <c r="H42" s="427"/>
      <c r="I42" s="427"/>
      <c r="J42" s="427"/>
      <c r="K42" s="427"/>
      <c r="L42" s="427"/>
      <c r="M42" s="427"/>
      <c r="N42" s="427"/>
      <c r="O42" s="427"/>
      <c r="P42" s="429"/>
      <c r="Q42" s="429"/>
      <c r="R42" s="429"/>
      <c r="S42" s="429"/>
      <c r="T42" s="430"/>
      <c r="U42" s="427"/>
      <c r="V42" s="427"/>
      <c r="W42" s="427"/>
      <c r="X42" s="427"/>
      <c r="Y42" s="429"/>
      <c r="Z42" s="429"/>
      <c r="AA42" s="429"/>
      <c r="AC42" s="427"/>
      <c r="AD42" s="427"/>
      <c r="AE42" s="427"/>
      <c r="AF42" s="429"/>
      <c r="AG42" s="429"/>
      <c r="AH42" s="429"/>
      <c r="AJ42" s="427"/>
      <c r="AK42" s="427"/>
      <c r="AL42" s="427"/>
      <c r="AM42" s="427"/>
      <c r="AN42" s="427"/>
      <c r="AO42" s="427"/>
      <c r="AP42" s="427"/>
      <c r="AQ42" s="427"/>
      <c r="AR42" s="427"/>
      <c r="AS42" s="427"/>
      <c r="AT42" s="427"/>
      <c r="AU42" s="427"/>
      <c r="AV42" s="429"/>
      <c r="AW42" s="429"/>
      <c r="AX42" s="429"/>
      <c r="AZ42" s="427"/>
      <c r="BA42" s="427"/>
      <c r="BB42" s="427"/>
      <c r="BC42" s="427"/>
      <c r="BD42" s="427"/>
      <c r="BE42" s="427"/>
      <c r="BF42" s="427"/>
      <c r="BG42" s="427"/>
      <c r="BH42" s="429"/>
      <c r="BI42" s="429"/>
      <c r="BJ42" s="429"/>
    </row>
    <row r="43" spans="1:62" s="428" customFormat="1" hidden="1" x14ac:dyDescent="0.35">
      <c r="B43" s="427"/>
      <c r="C43" s="427"/>
      <c r="D43" s="429"/>
      <c r="E43" s="427"/>
      <c r="F43" s="427"/>
      <c r="H43" s="427"/>
      <c r="I43" s="427"/>
      <c r="J43" s="427"/>
      <c r="K43" s="427"/>
      <c r="L43" s="427"/>
      <c r="M43" s="427"/>
      <c r="N43" s="427"/>
      <c r="O43" s="427"/>
      <c r="P43" s="429"/>
      <c r="Q43" s="429"/>
      <c r="R43" s="429"/>
      <c r="S43" s="429"/>
      <c r="T43" s="430"/>
      <c r="U43" s="427"/>
      <c r="V43" s="427"/>
      <c r="W43" s="427"/>
      <c r="X43" s="427"/>
      <c r="Y43" s="429"/>
      <c r="Z43" s="429"/>
      <c r="AA43" s="429"/>
      <c r="AC43" s="427"/>
      <c r="AD43" s="427"/>
      <c r="AE43" s="427"/>
      <c r="AF43" s="429"/>
      <c r="AG43" s="429"/>
      <c r="AH43" s="429"/>
      <c r="AJ43" s="427"/>
      <c r="AK43" s="427"/>
      <c r="AL43" s="427"/>
      <c r="AM43" s="427"/>
      <c r="AN43" s="427"/>
      <c r="AO43" s="427"/>
      <c r="AP43" s="427"/>
      <c r="AQ43" s="427"/>
      <c r="AR43" s="427"/>
      <c r="AS43" s="427"/>
      <c r="AT43" s="427"/>
      <c r="AU43" s="427"/>
      <c r="AV43" s="429"/>
      <c r="AW43" s="429"/>
      <c r="AX43" s="429"/>
      <c r="AZ43" s="427"/>
      <c r="BA43" s="427"/>
      <c r="BB43" s="427"/>
      <c r="BC43" s="427"/>
      <c r="BD43" s="427"/>
      <c r="BE43" s="427"/>
      <c r="BF43" s="427"/>
      <c r="BG43" s="427"/>
      <c r="BH43" s="429"/>
      <c r="BI43" s="429"/>
      <c r="BJ43" s="429"/>
    </row>
    <row r="44" spans="1:62" s="428" customFormat="1" hidden="1" x14ac:dyDescent="0.35">
      <c r="B44" s="427"/>
      <c r="C44" s="427"/>
      <c r="D44" s="429"/>
      <c r="E44" s="427"/>
      <c r="F44" s="427"/>
      <c r="H44" s="427"/>
      <c r="I44" s="427"/>
      <c r="J44" s="427"/>
      <c r="K44" s="427"/>
      <c r="L44" s="427"/>
      <c r="M44" s="427"/>
      <c r="N44" s="427"/>
      <c r="O44" s="427"/>
      <c r="P44" s="429"/>
      <c r="Q44" s="429"/>
      <c r="R44" s="429"/>
      <c r="S44" s="429"/>
      <c r="T44" s="430"/>
      <c r="U44" s="427"/>
      <c r="V44" s="427"/>
      <c r="W44" s="427"/>
      <c r="X44" s="427"/>
      <c r="Y44" s="429"/>
      <c r="Z44" s="429"/>
      <c r="AA44" s="429"/>
      <c r="AC44" s="427"/>
      <c r="AD44" s="427"/>
      <c r="AE44" s="427"/>
      <c r="AF44" s="429"/>
      <c r="AG44" s="429"/>
      <c r="AH44" s="429"/>
      <c r="AJ44" s="427"/>
      <c r="AK44" s="427"/>
      <c r="AL44" s="427"/>
      <c r="AM44" s="427"/>
      <c r="AN44" s="427"/>
      <c r="AO44" s="427"/>
      <c r="AP44" s="427"/>
      <c r="AQ44" s="427"/>
      <c r="AR44" s="427"/>
      <c r="AS44" s="427"/>
      <c r="AT44" s="427"/>
      <c r="AU44" s="427"/>
      <c r="AV44" s="429"/>
      <c r="AW44" s="429"/>
      <c r="AX44" s="429"/>
      <c r="AZ44" s="427"/>
      <c r="BA44" s="427"/>
      <c r="BB44" s="427"/>
      <c r="BC44" s="427"/>
      <c r="BD44" s="427"/>
      <c r="BE44" s="427"/>
      <c r="BF44" s="427"/>
      <c r="BG44" s="427"/>
      <c r="BH44" s="429"/>
      <c r="BI44" s="429"/>
      <c r="BJ44" s="429"/>
    </row>
    <row r="45" spans="1:62" s="428" customFormat="1" hidden="1" x14ac:dyDescent="0.35">
      <c r="B45" s="427"/>
      <c r="C45" s="427"/>
      <c r="D45" s="429"/>
      <c r="E45" s="427"/>
      <c r="F45" s="427"/>
      <c r="H45" s="427"/>
      <c r="I45" s="427"/>
      <c r="J45" s="427"/>
      <c r="K45" s="427"/>
      <c r="L45" s="427"/>
      <c r="M45" s="427"/>
      <c r="N45" s="427"/>
      <c r="O45" s="427"/>
      <c r="P45" s="429"/>
      <c r="Q45" s="429"/>
      <c r="R45" s="429"/>
      <c r="S45" s="429"/>
      <c r="T45" s="430"/>
      <c r="U45" s="427"/>
      <c r="V45" s="427"/>
      <c r="W45" s="427"/>
      <c r="X45" s="427"/>
      <c r="Y45" s="429"/>
      <c r="Z45" s="429"/>
      <c r="AA45" s="429"/>
      <c r="AC45" s="427"/>
      <c r="AD45" s="427"/>
      <c r="AE45" s="427"/>
      <c r="AF45" s="429"/>
      <c r="AG45" s="429"/>
      <c r="AH45" s="429"/>
      <c r="AJ45" s="427"/>
      <c r="AK45" s="427"/>
      <c r="AL45" s="427"/>
      <c r="AM45" s="427"/>
      <c r="AN45" s="427"/>
      <c r="AO45" s="427"/>
      <c r="AP45" s="427"/>
      <c r="AQ45" s="427"/>
      <c r="AR45" s="427"/>
      <c r="AS45" s="427"/>
      <c r="AT45" s="427"/>
      <c r="AU45" s="427"/>
      <c r="AV45" s="429"/>
      <c r="AW45" s="429"/>
      <c r="AX45" s="429"/>
      <c r="AZ45" s="427"/>
      <c r="BA45" s="427"/>
      <c r="BB45" s="427"/>
      <c r="BC45" s="427"/>
      <c r="BD45" s="427"/>
      <c r="BE45" s="427"/>
      <c r="BF45" s="427"/>
      <c r="BG45" s="427"/>
      <c r="BH45" s="429"/>
      <c r="BI45" s="429"/>
      <c r="BJ45" s="429"/>
    </row>
    <row r="46" spans="1:62" s="428" customFormat="1" hidden="1" x14ac:dyDescent="0.35">
      <c r="B46" s="427"/>
      <c r="C46" s="427"/>
      <c r="D46" s="429"/>
      <c r="E46" s="427"/>
      <c r="F46" s="427"/>
      <c r="H46" s="427"/>
      <c r="I46" s="427"/>
      <c r="J46" s="427"/>
      <c r="K46" s="427"/>
      <c r="L46" s="427"/>
      <c r="M46" s="427"/>
      <c r="N46" s="427"/>
      <c r="O46" s="427"/>
      <c r="P46" s="429"/>
      <c r="Q46" s="429"/>
      <c r="R46" s="429"/>
      <c r="S46" s="429"/>
      <c r="T46" s="430"/>
      <c r="U46" s="427"/>
      <c r="V46" s="427"/>
      <c r="W46" s="427"/>
      <c r="X46" s="427"/>
      <c r="Y46" s="429"/>
      <c r="Z46" s="429"/>
      <c r="AA46" s="429"/>
      <c r="AC46" s="427"/>
      <c r="AD46" s="427"/>
      <c r="AE46" s="427"/>
      <c r="AF46" s="429"/>
      <c r="AG46" s="429"/>
      <c r="AH46" s="429"/>
      <c r="AJ46" s="427"/>
      <c r="AK46" s="427"/>
      <c r="AL46" s="427"/>
      <c r="AM46" s="427"/>
      <c r="AN46" s="427"/>
      <c r="AO46" s="427"/>
      <c r="AP46" s="427"/>
      <c r="AQ46" s="427"/>
      <c r="AR46" s="427"/>
      <c r="AS46" s="427"/>
      <c r="AT46" s="427"/>
      <c r="AU46" s="427"/>
      <c r="AV46" s="429"/>
      <c r="AW46" s="429"/>
      <c r="AX46" s="429"/>
      <c r="AZ46" s="427"/>
      <c r="BA46" s="427"/>
      <c r="BB46" s="427"/>
      <c r="BC46" s="427"/>
      <c r="BD46" s="427"/>
      <c r="BE46" s="427"/>
      <c r="BF46" s="427"/>
      <c r="BG46" s="427"/>
      <c r="BH46" s="429"/>
      <c r="BI46" s="429"/>
      <c r="BJ46" s="429"/>
    </row>
    <row r="47" spans="1:62" s="428" customFormat="1" hidden="1" x14ac:dyDescent="0.35">
      <c r="A47" s="428">
        <v>1</v>
      </c>
      <c r="B47" s="435" t="b">
        <f>AND(8.9&lt;E21,E21&lt;10)</f>
        <v>0</v>
      </c>
      <c r="C47" s="435">
        <f>IF(B47,1,0)</f>
        <v>0</v>
      </c>
      <c r="D47" s="429"/>
      <c r="E47" s="427"/>
      <c r="F47" s="427">
        <f>IF(B28="3.1.1",1,0)</f>
        <v>0</v>
      </c>
      <c r="H47" s="427"/>
      <c r="I47" s="427"/>
      <c r="J47" s="427"/>
      <c r="K47" s="427"/>
      <c r="L47" s="427"/>
      <c r="M47" s="427"/>
      <c r="N47" s="427"/>
      <c r="O47" s="427"/>
      <c r="P47" s="429"/>
      <c r="Q47" s="429"/>
      <c r="R47" s="429"/>
      <c r="S47" s="429"/>
      <c r="T47" s="430"/>
      <c r="U47" s="427"/>
      <c r="V47" s="427"/>
      <c r="W47" s="427"/>
      <c r="X47" s="427"/>
      <c r="Y47" s="429"/>
      <c r="Z47" s="429"/>
      <c r="AA47" s="429"/>
      <c r="AC47" s="427"/>
      <c r="AD47" s="427"/>
      <c r="AE47" s="427"/>
      <c r="AF47" s="429"/>
      <c r="AG47" s="429"/>
      <c r="AH47" s="429"/>
      <c r="AJ47" s="427"/>
      <c r="AK47" s="427"/>
      <c r="AL47" s="427"/>
      <c r="AM47" s="427"/>
      <c r="AN47" s="427"/>
      <c r="AO47" s="427"/>
      <c r="AP47" s="427"/>
      <c r="AQ47" s="427"/>
      <c r="AR47" s="427"/>
      <c r="AS47" s="427"/>
      <c r="AT47" s="427"/>
      <c r="AU47" s="427"/>
      <c r="AV47" s="429"/>
      <c r="AW47" s="429"/>
      <c r="AX47" s="429"/>
      <c r="AZ47" s="427"/>
      <c r="BA47" s="427"/>
      <c r="BB47" s="427"/>
      <c r="BC47" s="427"/>
      <c r="BD47" s="427"/>
      <c r="BE47" s="427"/>
      <c r="BF47" s="427"/>
      <c r="BG47" s="427"/>
      <c r="BH47" s="429"/>
      <c r="BI47" s="429"/>
      <c r="BJ47" s="429"/>
    </row>
    <row r="48" spans="1:62" s="428" customFormat="1" hidden="1" x14ac:dyDescent="0.35">
      <c r="A48" s="428">
        <v>2</v>
      </c>
      <c r="B48" s="435" t="b">
        <f>AND(6.99&lt;E21,E21&lt;9)</f>
        <v>0</v>
      </c>
      <c r="C48" s="435">
        <f>IF(B48,2,0)</f>
        <v>0</v>
      </c>
      <c r="D48" s="429"/>
      <c r="E48" s="427"/>
      <c r="F48" s="427">
        <f>IF(B29="3.1.6",1,0)</f>
        <v>0</v>
      </c>
      <c r="H48" s="427"/>
      <c r="I48" s="427"/>
      <c r="J48" s="427"/>
      <c r="K48" s="427"/>
      <c r="L48" s="427"/>
      <c r="M48" s="427"/>
      <c r="N48" s="427"/>
      <c r="O48" s="427"/>
      <c r="P48" s="429"/>
      <c r="Q48" s="429"/>
      <c r="R48" s="429"/>
      <c r="S48" s="429"/>
      <c r="T48" s="430"/>
      <c r="U48" s="427"/>
      <c r="V48" s="427"/>
      <c r="W48" s="427"/>
      <c r="X48" s="427"/>
      <c r="Y48" s="429"/>
      <c r="Z48" s="429"/>
      <c r="AA48" s="429"/>
      <c r="AC48" s="427"/>
      <c r="AD48" s="427"/>
      <c r="AE48" s="427"/>
      <c r="AF48" s="429"/>
      <c r="AG48" s="429"/>
      <c r="AH48" s="429"/>
      <c r="AJ48" s="427"/>
      <c r="AK48" s="427"/>
      <c r="AL48" s="427"/>
      <c r="AM48" s="427"/>
      <c r="AN48" s="427"/>
      <c r="AO48" s="427"/>
      <c r="AP48" s="427"/>
      <c r="AQ48" s="427"/>
      <c r="AR48" s="427"/>
      <c r="AS48" s="427"/>
      <c r="AT48" s="427"/>
      <c r="AU48" s="427"/>
      <c r="AV48" s="429"/>
      <c r="AW48" s="429"/>
      <c r="AX48" s="429"/>
      <c r="AZ48" s="427"/>
      <c r="BA48" s="427"/>
      <c r="BB48" s="427"/>
      <c r="BC48" s="427"/>
      <c r="BD48" s="427"/>
      <c r="BE48" s="427"/>
      <c r="BF48" s="427"/>
      <c r="BG48" s="427"/>
      <c r="BH48" s="429"/>
      <c r="BI48" s="429"/>
      <c r="BJ48" s="429"/>
    </row>
    <row r="49" spans="1:62" s="428" customFormat="1" hidden="1" x14ac:dyDescent="0.35">
      <c r="A49" s="428">
        <v>3</v>
      </c>
      <c r="B49" s="435" t="b">
        <f>AND(4.99&lt;E21,E21&lt;7)</f>
        <v>0</v>
      </c>
      <c r="C49" s="435">
        <f>IF(B49,3,0)</f>
        <v>0</v>
      </c>
      <c r="D49" s="429"/>
      <c r="E49" s="427"/>
      <c r="F49" s="427">
        <f>IF(B30="3.1.6",1,0)</f>
        <v>0</v>
      </c>
      <c r="H49" s="427"/>
      <c r="I49" s="427"/>
      <c r="J49" s="427"/>
      <c r="K49" s="427"/>
      <c r="L49" s="427"/>
      <c r="M49" s="427"/>
      <c r="N49" s="427"/>
      <c r="O49" s="427"/>
      <c r="P49" s="429"/>
      <c r="Q49" s="429"/>
      <c r="R49" s="429"/>
      <c r="S49" s="429"/>
      <c r="T49" s="430"/>
      <c r="U49" s="427"/>
      <c r="V49" s="427"/>
      <c r="W49" s="427"/>
      <c r="X49" s="427"/>
      <c r="Y49" s="429"/>
      <c r="Z49" s="429"/>
      <c r="AA49" s="429"/>
      <c r="AC49" s="427"/>
      <c r="AD49" s="427"/>
      <c r="AE49" s="427"/>
      <c r="AF49" s="429"/>
      <c r="AG49" s="429"/>
      <c r="AH49" s="429"/>
      <c r="AJ49" s="427"/>
      <c r="AK49" s="427"/>
      <c r="AL49" s="427"/>
      <c r="AM49" s="427"/>
      <c r="AN49" s="427"/>
      <c r="AO49" s="427"/>
      <c r="AP49" s="427"/>
      <c r="AQ49" s="427"/>
      <c r="AR49" s="427"/>
      <c r="AS49" s="427"/>
      <c r="AT49" s="427"/>
      <c r="AU49" s="427"/>
      <c r="AV49" s="429"/>
      <c r="AW49" s="429"/>
      <c r="AX49" s="429"/>
      <c r="AZ49" s="427"/>
      <c r="BA49" s="427"/>
      <c r="BB49" s="427"/>
      <c r="BC49" s="427"/>
      <c r="BD49" s="427"/>
      <c r="BE49" s="427"/>
      <c r="BF49" s="427"/>
      <c r="BG49" s="427"/>
      <c r="BH49" s="429"/>
      <c r="BI49" s="429"/>
      <c r="BJ49" s="429"/>
    </row>
    <row r="50" spans="1:62" s="428" customFormat="1" hidden="1" x14ac:dyDescent="0.35">
      <c r="A50" s="428">
        <v>4</v>
      </c>
      <c r="B50" s="435" t="b">
        <f>AND(-0.01&lt;E21,E21&lt;5)</f>
        <v>1</v>
      </c>
      <c r="C50" s="435">
        <f>IF(B50,4,0)</f>
        <v>4</v>
      </c>
      <c r="D50" s="429"/>
      <c r="E50" s="427"/>
      <c r="F50" s="427">
        <f>IF(B31="3.1.8",1,0)</f>
        <v>0</v>
      </c>
      <c r="H50" s="427"/>
      <c r="I50" s="427"/>
      <c r="J50" s="427"/>
      <c r="K50" s="427"/>
      <c r="L50" s="427"/>
      <c r="M50" s="427"/>
      <c r="N50" s="427"/>
      <c r="O50" s="427"/>
      <c r="P50" s="429"/>
      <c r="Q50" s="429"/>
      <c r="R50" s="429"/>
      <c r="S50" s="429"/>
      <c r="T50" s="430"/>
      <c r="U50" s="427"/>
      <c r="V50" s="427"/>
      <c r="W50" s="427"/>
      <c r="X50" s="427"/>
      <c r="Y50" s="429"/>
      <c r="Z50" s="429"/>
      <c r="AA50" s="429"/>
      <c r="AC50" s="427"/>
      <c r="AD50" s="427"/>
      <c r="AE50" s="427"/>
      <c r="AF50" s="429"/>
      <c r="AG50" s="429"/>
      <c r="AH50" s="429"/>
      <c r="AJ50" s="427"/>
      <c r="AK50" s="427"/>
      <c r="AL50" s="427"/>
      <c r="AM50" s="427"/>
      <c r="AN50" s="427"/>
      <c r="AO50" s="427"/>
      <c r="AP50" s="427"/>
      <c r="AQ50" s="427"/>
      <c r="AR50" s="427"/>
      <c r="AS50" s="427"/>
      <c r="AT50" s="427"/>
      <c r="AU50" s="427"/>
      <c r="AV50" s="429"/>
      <c r="AW50" s="429"/>
      <c r="AX50" s="429"/>
      <c r="AZ50" s="427"/>
      <c r="BA50" s="427"/>
      <c r="BB50" s="427"/>
      <c r="BC50" s="427"/>
      <c r="BD50" s="427"/>
      <c r="BE50" s="427"/>
      <c r="BF50" s="427"/>
      <c r="BG50" s="427"/>
      <c r="BH50" s="429"/>
      <c r="BI50" s="429"/>
      <c r="BJ50" s="429"/>
    </row>
    <row r="51" spans="1:62" s="428" customFormat="1" hidden="1" x14ac:dyDescent="0.35">
      <c r="A51" s="436"/>
      <c r="B51" s="436"/>
      <c r="C51" s="427">
        <f>SUM(C47:C50)</f>
        <v>4</v>
      </c>
      <c r="D51" s="429"/>
      <c r="E51" s="427"/>
      <c r="F51" s="427">
        <f>IF(B32="3.1.9",1,0)</f>
        <v>0</v>
      </c>
      <c r="H51" s="427"/>
      <c r="I51" s="427"/>
      <c r="J51" s="427"/>
      <c r="K51" s="427"/>
      <c r="L51" s="427"/>
      <c r="M51" s="427"/>
      <c r="N51" s="427"/>
      <c r="O51" s="427"/>
      <c r="P51" s="429"/>
      <c r="Q51" s="429"/>
      <c r="R51" s="429"/>
      <c r="S51" s="429"/>
      <c r="T51" s="430"/>
      <c r="U51" s="427"/>
      <c r="V51" s="427"/>
      <c r="W51" s="427"/>
      <c r="X51" s="427"/>
      <c r="Y51" s="429"/>
      <c r="Z51" s="429"/>
      <c r="AA51" s="429"/>
      <c r="AC51" s="427"/>
      <c r="AD51" s="427"/>
      <c r="AE51" s="427"/>
      <c r="AF51" s="429"/>
      <c r="AG51" s="429"/>
      <c r="AH51" s="429"/>
      <c r="AJ51" s="427"/>
      <c r="AK51" s="427"/>
      <c r="AL51" s="427"/>
      <c r="AM51" s="427"/>
      <c r="AN51" s="427"/>
      <c r="AO51" s="427"/>
      <c r="AP51" s="427"/>
      <c r="AQ51" s="427"/>
      <c r="AR51" s="427"/>
      <c r="AS51" s="427"/>
      <c r="AT51" s="427"/>
      <c r="AU51" s="427"/>
      <c r="AV51" s="429"/>
      <c r="AW51" s="429"/>
      <c r="AX51" s="429"/>
      <c r="AZ51" s="427"/>
      <c r="BA51" s="427"/>
      <c r="BB51" s="427"/>
      <c r="BC51" s="427"/>
      <c r="BD51" s="427"/>
      <c r="BE51" s="427"/>
      <c r="BF51" s="427"/>
      <c r="BG51" s="427"/>
      <c r="BH51" s="429"/>
      <c r="BI51" s="429"/>
      <c r="BJ51" s="429"/>
    </row>
    <row r="52" spans="1:62" s="428" customFormat="1" hidden="1" x14ac:dyDescent="0.35">
      <c r="A52" s="436"/>
      <c r="B52" s="436"/>
      <c r="C52" s="427"/>
      <c r="D52" s="429"/>
      <c r="E52" s="427"/>
      <c r="F52" s="427">
        <f>IF(B33="3.1.14",1,0)</f>
        <v>0</v>
      </c>
      <c r="H52" s="427"/>
      <c r="I52" s="427"/>
      <c r="J52" s="427"/>
      <c r="K52" s="427"/>
      <c r="L52" s="427"/>
      <c r="M52" s="427"/>
      <c r="N52" s="427"/>
      <c r="O52" s="427"/>
      <c r="P52" s="429"/>
      <c r="Q52" s="429"/>
      <c r="R52" s="429"/>
      <c r="S52" s="429"/>
      <c r="T52" s="430"/>
      <c r="U52" s="427"/>
      <c r="V52" s="427"/>
      <c r="W52" s="427"/>
      <c r="X52" s="427"/>
      <c r="Y52" s="429"/>
      <c r="Z52" s="429"/>
      <c r="AA52" s="429"/>
      <c r="AC52" s="427"/>
      <c r="AD52" s="427"/>
      <c r="AE52" s="427"/>
      <c r="AF52" s="429"/>
      <c r="AG52" s="429"/>
      <c r="AH52" s="429"/>
      <c r="AJ52" s="427"/>
      <c r="AK52" s="427"/>
      <c r="AL52" s="427"/>
      <c r="AM52" s="427"/>
      <c r="AN52" s="427"/>
      <c r="AO52" s="427"/>
      <c r="AP52" s="427"/>
      <c r="AQ52" s="427"/>
      <c r="AR52" s="427"/>
      <c r="AS52" s="427"/>
      <c r="AT52" s="427"/>
      <c r="AU52" s="427"/>
      <c r="AV52" s="429"/>
      <c r="AW52" s="429"/>
      <c r="AX52" s="429"/>
      <c r="AZ52" s="427"/>
      <c r="BA52" s="427"/>
      <c r="BB52" s="427"/>
      <c r="BC52" s="427"/>
      <c r="BD52" s="427"/>
      <c r="BE52" s="427"/>
      <c r="BF52" s="427"/>
      <c r="BG52" s="427"/>
      <c r="BH52" s="429"/>
      <c r="BI52" s="429"/>
      <c r="BJ52" s="429"/>
    </row>
    <row r="53" spans="1:62" s="428" customFormat="1" hidden="1" x14ac:dyDescent="0.35">
      <c r="A53" s="436"/>
      <c r="B53" s="436"/>
      <c r="C53" s="427"/>
      <c r="D53" s="429"/>
      <c r="E53" s="427"/>
      <c r="F53" s="427">
        <f>SUM(F47:F52)</f>
        <v>0</v>
      </c>
      <c r="H53" s="427"/>
      <c r="I53" s="427"/>
      <c r="J53" s="427"/>
      <c r="K53" s="427"/>
      <c r="L53" s="427"/>
      <c r="M53" s="427"/>
      <c r="N53" s="427"/>
      <c r="O53" s="427"/>
      <c r="P53" s="429"/>
      <c r="Q53" s="429"/>
      <c r="R53" s="429"/>
      <c r="S53" s="429"/>
      <c r="T53" s="430"/>
      <c r="U53" s="427"/>
      <c r="V53" s="427"/>
      <c r="W53" s="427"/>
      <c r="X53" s="427"/>
      <c r="Y53" s="429"/>
      <c r="Z53" s="429"/>
      <c r="AA53" s="429"/>
      <c r="AC53" s="427"/>
      <c r="AD53" s="427"/>
      <c r="AE53" s="427"/>
      <c r="AF53" s="429"/>
      <c r="AG53" s="429"/>
      <c r="AH53" s="429"/>
      <c r="AJ53" s="427"/>
      <c r="AK53" s="427"/>
      <c r="AL53" s="427"/>
      <c r="AM53" s="427"/>
      <c r="AN53" s="427"/>
      <c r="AO53" s="427"/>
      <c r="AP53" s="427"/>
      <c r="AQ53" s="427"/>
      <c r="AR53" s="427"/>
      <c r="AS53" s="427"/>
      <c r="AT53" s="427"/>
      <c r="AU53" s="427"/>
      <c r="AV53" s="429"/>
      <c r="AW53" s="429"/>
      <c r="AX53" s="429"/>
      <c r="AZ53" s="427"/>
      <c r="BA53" s="427"/>
      <c r="BB53" s="427"/>
      <c r="BC53" s="427"/>
      <c r="BD53" s="427"/>
      <c r="BE53" s="427"/>
      <c r="BF53" s="427"/>
      <c r="BG53" s="427"/>
      <c r="BH53" s="429"/>
      <c r="BI53" s="429"/>
      <c r="BJ53" s="429"/>
    </row>
    <row r="54" spans="1:62" s="428" customFormat="1" hidden="1" x14ac:dyDescent="0.35">
      <c r="A54" s="436"/>
      <c r="B54" s="436"/>
      <c r="C54" s="427"/>
      <c r="D54" s="429"/>
      <c r="E54" s="427"/>
      <c r="F54" s="427"/>
      <c r="H54" s="427"/>
      <c r="I54" s="427"/>
      <c r="J54" s="427"/>
      <c r="K54" s="427"/>
      <c r="L54" s="427"/>
      <c r="M54" s="427"/>
      <c r="N54" s="427"/>
      <c r="O54" s="427"/>
      <c r="P54" s="429"/>
      <c r="Q54" s="429"/>
      <c r="R54" s="429"/>
      <c r="S54" s="429"/>
      <c r="T54" s="430"/>
      <c r="U54" s="427"/>
      <c r="V54" s="427"/>
      <c r="W54" s="427"/>
      <c r="X54" s="427"/>
      <c r="Y54" s="429"/>
      <c r="Z54" s="429"/>
      <c r="AA54" s="429"/>
      <c r="AC54" s="427"/>
      <c r="AD54" s="427"/>
      <c r="AE54" s="427"/>
      <c r="AF54" s="429"/>
      <c r="AG54" s="429"/>
      <c r="AH54" s="429"/>
      <c r="AJ54" s="427"/>
      <c r="AK54" s="427"/>
      <c r="AL54" s="427"/>
      <c r="AM54" s="427"/>
      <c r="AN54" s="427"/>
      <c r="AO54" s="427"/>
      <c r="AP54" s="427"/>
      <c r="AQ54" s="427"/>
      <c r="AR54" s="427"/>
      <c r="AS54" s="427"/>
      <c r="AT54" s="427"/>
      <c r="AU54" s="427"/>
      <c r="AV54" s="429"/>
      <c r="AW54" s="429"/>
      <c r="AX54" s="429"/>
      <c r="AZ54" s="427"/>
      <c r="BA54" s="427"/>
      <c r="BB54" s="427"/>
      <c r="BC54" s="427"/>
      <c r="BD54" s="427"/>
      <c r="BE54" s="427"/>
      <c r="BF54" s="427"/>
      <c r="BG54" s="427"/>
      <c r="BH54" s="429"/>
      <c r="BI54" s="429"/>
      <c r="BJ54" s="429"/>
    </row>
    <row r="55" spans="1:62" s="428" customFormat="1" hidden="1" x14ac:dyDescent="0.35">
      <c r="B55" s="427"/>
      <c r="C55" s="427"/>
      <c r="D55" s="429"/>
      <c r="E55" s="427"/>
      <c r="F55" s="427"/>
      <c r="H55" s="427"/>
      <c r="I55" s="427"/>
      <c r="J55" s="427"/>
      <c r="K55" s="427"/>
      <c r="L55" s="427"/>
      <c r="M55" s="427"/>
      <c r="N55" s="427"/>
      <c r="O55" s="427"/>
      <c r="P55" s="429"/>
      <c r="Q55" s="429"/>
      <c r="R55" s="429"/>
      <c r="S55" s="429"/>
      <c r="T55" s="430"/>
      <c r="U55" s="427"/>
      <c r="V55" s="427"/>
      <c r="W55" s="427"/>
      <c r="X55" s="427"/>
      <c r="Y55" s="429"/>
      <c r="Z55" s="429"/>
      <c r="AA55" s="429"/>
      <c r="AC55" s="427"/>
      <c r="AD55" s="427"/>
      <c r="AE55" s="427"/>
      <c r="AF55" s="429"/>
      <c r="AG55" s="429"/>
      <c r="AH55" s="429"/>
      <c r="AJ55" s="427"/>
      <c r="AK55" s="427"/>
      <c r="AL55" s="427"/>
      <c r="AM55" s="427"/>
      <c r="AN55" s="427"/>
      <c r="AO55" s="427"/>
      <c r="AP55" s="427"/>
      <c r="AQ55" s="427"/>
      <c r="AR55" s="427"/>
      <c r="AS55" s="427"/>
      <c r="AT55" s="427"/>
      <c r="AU55" s="427"/>
      <c r="AV55" s="429"/>
      <c r="AW55" s="429"/>
      <c r="AX55" s="429"/>
      <c r="AZ55" s="427"/>
      <c r="BA55" s="427"/>
      <c r="BB55" s="427"/>
      <c r="BC55" s="427"/>
      <c r="BD55" s="427"/>
      <c r="BE55" s="427"/>
      <c r="BF55" s="427"/>
      <c r="BG55" s="427"/>
      <c r="BH55" s="429"/>
      <c r="BI55" s="429"/>
      <c r="BJ55" s="429"/>
    </row>
    <row r="56" spans="1:62" s="428" customFormat="1" hidden="1" x14ac:dyDescent="0.35">
      <c r="B56" s="427"/>
      <c r="C56" s="427"/>
      <c r="D56" s="429"/>
      <c r="E56" s="427"/>
      <c r="F56" s="427"/>
      <c r="H56" s="427"/>
      <c r="I56" s="427"/>
      <c r="J56" s="427"/>
      <c r="K56" s="427"/>
      <c r="L56" s="427"/>
      <c r="M56" s="427"/>
      <c r="N56" s="427"/>
      <c r="O56" s="427"/>
      <c r="P56" s="429"/>
      <c r="Q56" s="429"/>
      <c r="R56" s="429"/>
      <c r="S56" s="429"/>
      <c r="T56" s="430"/>
      <c r="U56" s="427"/>
      <c r="V56" s="427"/>
      <c r="W56" s="427"/>
      <c r="X56" s="427"/>
      <c r="Y56" s="429"/>
      <c r="Z56" s="429"/>
      <c r="AA56" s="429"/>
      <c r="AC56" s="427"/>
      <c r="AD56" s="427"/>
      <c r="AE56" s="427"/>
      <c r="AF56" s="429"/>
      <c r="AG56" s="429"/>
      <c r="AH56" s="429"/>
      <c r="AJ56" s="427"/>
      <c r="AK56" s="427"/>
      <c r="AL56" s="427"/>
      <c r="AM56" s="427"/>
      <c r="AN56" s="427"/>
      <c r="AO56" s="427"/>
      <c r="AP56" s="427"/>
      <c r="AQ56" s="427"/>
      <c r="AR56" s="427"/>
      <c r="AS56" s="427"/>
      <c r="AT56" s="427"/>
      <c r="AU56" s="427"/>
      <c r="AV56" s="429"/>
      <c r="AW56" s="429"/>
      <c r="AX56" s="429"/>
      <c r="AZ56" s="427"/>
      <c r="BA56" s="427"/>
      <c r="BB56" s="427"/>
      <c r="BC56" s="427"/>
      <c r="BD56" s="427"/>
      <c r="BE56" s="427"/>
      <c r="BF56" s="427"/>
      <c r="BG56" s="427"/>
      <c r="BH56" s="429"/>
      <c r="BI56" s="429"/>
      <c r="BJ56" s="429"/>
    </row>
    <row r="57" spans="1:62" s="428" customFormat="1" hidden="1" x14ac:dyDescent="0.35">
      <c r="B57" s="427"/>
      <c r="C57" s="427"/>
      <c r="D57" s="429"/>
      <c r="E57" s="427"/>
      <c r="F57" s="427"/>
      <c r="H57" s="427"/>
      <c r="I57" s="427"/>
      <c r="J57" s="427"/>
      <c r="K57" s="427"/>
      <c r="L57" s="427"/>
      <c r="M57" s="427"/>
      <c r="N57" s="427"/>
      <c r="O57" s="427"/>
      <c r="P57" s="429"/>
      <c r="Q57" s="429"/>
      <c r="R57" s="429"/>
      <c r="S57" s="429"/>
      <c r="T57" s="430"/>
      <c r="U57" s="427"/>
      <c r="V57" s="427"/>
      <c r="W57" s="427"/>
      <c r="X57" s="427"/>
      <c r="Y57" s="429"/>
      <c r="Z57" s="429"/>
      <c r="AA57" s="429"/>
      <c r="AC57" s="427"/>
      <c r="AD57" s="427"/>
      <c r="AE57" s="427"/>
      <c r="AF57" s="429"/>
      <c r="AG57" s="429"/>
      <c r="AH57" s="429"/>
      <c r="AJ57" s="427"/>
      <c r="AK57" s="427"/>
      <c r="AL57" s="427"/>
      <c r="AM57" s="427"/>
      <c r="AN57" s="427"/>
      <c r="AO57" s="427"/>
      <c r="AP57" s="427"/>
      <c r="AQ57" s="427"/>
      <c r="AR57" s="427"/>
      <c r="AS57" s="427"/>
      <c r="AT57" s="427"/>
      <c r="AU57" s="427"/>
      <c r="AV57" s="429"/>
      <c r="AW57" s="429"/>
      <c r="AX57" s="429"/>
      <c r="AZ57" s="427"/>
      <c r="BA57" s="427"/>
      <c r="BB57" s="427"/>
      <c r="BC57" s="427"/>
      <c r="BD57" s="427"/>
      <c r="BE57" s="427"/>
      <c r="BF57" s="427"/>
      <c r="BG57" s="427"/>
      <c r="BH57" s="429"/>
      <c r="BI57" s="429"/>
      <c r="BJ57" s="429"/>
    </row>
    <row r="58" spans="1:62" s="428" customFormat="1" hidden="1" x14ac:dyDescent="0.35">
      <c r="B58" s="427"/>
      <c r="C58" s="427"/>
      <c r="D58" s="429"/>
      <c r="E58" s="427"/>
      <c r="F58" s="427"/>
      <c r="H58" s="427"/>
      <c r="I58" s="427"/>
      <c r="J58" s="427"/>
      <c r="K58" s="427"/>
      <c r="L58" s="427"/>
      <c r="M58" s="427"/>
      <c r="N58" s="427"/>
      <c r="O58" s="427"/>
      <c r="P58" s="429"/>
      <c r="Q58" s="429"/>
      <c r="R58" s="429"/>
      <c r="S58" s="429"/>
      <c r="T58" s="430"/>
      <c r="U58" s="427"/>
      <c r="V58" s="427"/>
      <c r="W58" s="427"/>
      <c r="X58" s="427"/>
      <c r="Y58" s="429"/>
      <c r="Z58" s="429"/>
      <c r="AA58" s="429"/>
      <c r="AC58" s="427"/>
      <c r="AD58" s="427"/>
      <c r="AE58" s="427"/>
      <c r="AF58" s="429"/>
      <c r="AG58" s="429"/>
      <c r="AH58" s="429"/>
      <c r="AJ58" s="427"/>
      <c r="AK58" s="427"/>
      <c r="AL58" s="427"/>
      <c r="AM58" s="427"/>
      <c r="AN58" s="427"/>
      <c r="AO58" s="427"/>
      <c r="AP58" s="427"/>
      <c r="AQ58" s="427"/>
      <c r="AR58" s="427"/>
      <c r="AS58" s="427"/>
      <c r="AT58" s="427"/>
      <c r="AU58" s="427"/>
      <c r="AV58" s="429"/>
      <c r="AW58" s="429"/>
      <c r="AX58" s="429"/>
      <c r="AZ58" s="427"/>
      <c r="BA58" s="427"/>
      <c r="BB58" s="427"/>
      <c r="BC58" s="427"/>
      <c r="BD58" s="427"/>
      <c r="BE58" s="427"/>
      <c r="BF58" s="427"/>
      <c r="BG58" s="427"/>
      <c r="BH58" s="429"/>
      <c r="BI58" s="429"/>
      <c r="BJ58" s="429"/>
    </row>
    <row r="59" spans="1:62" s="428" customFormat="1" hidden="1" x14ac:dyDescent="0.35">
      <c r="B59" s="427"/>
      <c r="C59" s="427"/>
      <c r="D59" s="429"/>
      <c r="E59" s="427"/>
      <c r="F59" s="427"/>
      <c r="H59" s="427"/>
      <c r="I59" s="427"/>
      <c r="J59" s="427"/>
      <c r="K59" s="427"/>
      <c r="L59" s="427"/>
      <c r="M59" s="427"/>
      <c r="N59" s="427"/>
      <c r="O59" s="427"/>
      <c r="P59" s="429"/>
      <c r="Q59" s="429"/>
      <c r="R59" s="429"/>
      <c r="S59" s="429"/>
      <c r="T59" s="430"/>
      <c r="U59" s="427"/>
      <c r="V59" s="427"/>
      <c r="W59" s="427"/>
      <c r="X59" s="427"/>
      <c r="Y59" s="429"/>
      <c r="Z59" s="429"/>
      <c r="AA59" s="429"/>
      <c r="AC59" s="427"/>
      <c r="AD59" s="427"/>
      <c r="AE59" s="427"/>
      <c r="AF59" s="429"/>
      <c r="AG59" s="429"/>
      <c r="AH59" s="429"/>
      <c r="AJ59" s="427"/>
      <c r="AK59" s="427"/>
      <c r="AL59" s="429">
        <v>3.1</v>
      </c>
      <c r="AM59" s="429">
        <v>3.2</v>
      </c>
      <c r="AN59" s="427"/>
      <c r="AO59" s="427"/>
      <c r="AP59" s="427"/>
      <c r="AQ59" s="427"/>
      <c r="AR59" s="427"/>
      <c r="AS59" s="427"/>
      <c r="AT59" s="427"/>
      <c r="AU59" s="427"/>
      <c r="AX59" s="429"/>
      <c r="AY59" s="429"/>
      <c r="AZ59" s="429"/>
      <c r="BA59" s="429"/>
      <c r="BB59" s="429"/>
      <c r="BC59" s="429"/>
      <c r="BD59" s="429"/>
      <c r="BE59" s="429"/>
      <c r="BF59" s="429"/>
      <c r="BG59" s="429"/>
      <c r="BH59" s="429"/>
      <c r="BI59" s="429"/>
      <c r="BJ59" s="429"/>
    </row>
    <row r="60" spans="1:62" s="436" customFormat="1" hidden="1" x14ac:dyDescent="0.35">
      <c r="A60" s="436">
        <v>10</v>
      </c>
      <c r="B60" s="436" t="b">
        <f>AND(10&lt;B5,B5&lt;10)</f>
        <v>0</v>
      </c>
      <c r="C60" s="436" t="b">
        <f>IF(C5=1000,TRUE, FALSE)</f>
        <v>0</v>
      </c>
      <c r="D60" s="436">
        <f>IF(B60,10,0)</f>
        <v>0</v>
      </c>
      <c r="E60" s="436">
        <f>IF(C60,10,0)</f>
        <v>0</v>
      </c>
      <c r="F60" s="511"/>
      <c r="H60" s="511"/>
      <c r="I60" s="511"/>
      <c r="J60" s="511"/>
      <c r="K60" s="436" t="b">
        <f>IF(K5=1000,TRUE, FALSE)</f>
        <v>0</v>
      </c>
      <c r="L60" s="436" t="b">
        <f>IF(L5=1000,TRUE, FALSE)</f>
        <v>0</v>
      </c>
      <c r="M60" s="436" t="b">
        <f>IF(M5=1000,TRUE, FALSE)</f>
        <v>0</v>
      </c>
      <c r="N60" s="436" t="b">
        <f>IF(N5=1000,TRUE, FALSE)</f>
        <v>0</v>
      </c>
      <c r="O60" s="436" t="b">
        <f>IF(O5=100%,TRUE, FALSE)</f>
        <v>0</v>
      </c>
      <c r="P60" s="436">
        <f>IF(K60,10,0)</f>
        <v>0</v>
      </c>
      <c r="Q60" s="436">
        <f>IF(L60,10,0)</f>
        <v>0</v>
      </c>
      <c r="R60" s="436">
        <f>IF(M60,10,0)</f>
        <v>0</v>
      </c>
      <c r="S60" s="436">
        <f>IF(N60,10,0)</f>
        <v>0</v>
      </c>
      <c r="T60" s="436">
        <f>IF(O60,10,0)</f>
        <v>0</v>
      </c>
      <c r="U60" s="436" t="b">
        <f>IF(U5=100%,TRUE, FALSE)</f>
        <v>0</v>
      </c>
      <c r="V60" s="436" t="b">
        <f>IF(V5=100%,TRUE, FALSE)</f>
        <v>0</v>
      </c>
      <c r="W60" s="436" t="b">
        <f>IF(W5=100%,TRUE, FALSE)</f>
        <v>0</v>
      </c>
      <c r="X60" s="436" t="b">
        <f>IF(X5=100%,TRUE, FALSE)</f>
        <v>0</v>
      </c>
      <c r="Y60" s="436">
        <f>IF(U60,10,0)</f>
        <v>0</v>
      </c>
      <c r="Z60" s="436">
        <f>IF(V60,10,0)</f>
        <v>0</v>
      </c>
      <c r="AA60" s="436">
        <f>IF(W60,10,0)</f>
        <v>0</v>
      </c>
      <c r="AC60" s="511"/>
      <c r="AD60" s="436" t="b">
        <f>IF(AC5=100%,TRUE, FALSE)</f>
        <v>0</v>
      </c>
      <c r="AE60" s="436" t="b">
        <f>IF(AD5=100%,TRUE, FALSE)</f>
        <v>0</v>
      </c>
      <c r="AF60" s="436">
        <f>IF(AD60,10,0)</f>
        <v>0</v>
      </c>
      <c r="AG60" s="436">
        <f>IF(AE60,10,0)</f>
        <v>0</v>
      </c>
      <c r="AH60" s="436" t="e">
        <f>IF(#REF!,10,0)</f>
        <v>#REF!</v>
      </c>
      <c r="AI60" s="436" t="e">
        <f>IF(#REF!,10,0)</f>
        <v>#REF!</v>
      </c>
      <c r="AJ60" s="436" t="b">
        <f>IF(AJ5=100%,TRUE, FALSE)</f>
        <v>0</v>
      </c>
      <c r="AK60" s="436" t="b">
        <f>IF(AK5=100%,TRUE, FALSE)</f>
        <v>0</v>
      </c>
      <c r="AL60" s="436">
        <f>IF(AJ60,10,0)</f>
        <v>0</v>
      </c>
      <c r="AM60" s="436">
        <f>IF(AL5=100%,10,0)</f>
        <v>0</v>
      </c>
      <c r="AQ60" s="436" t="b">
        <f>IF(AQ5=100%,TRUE, FALSE)</f>
        <v>0</v>
      </c>
      <c r="AR60" s="436" t="b">
        <f>IF(AR5=100%,TRUE, FALSE)</f>
        <v>0</v>
      </c>
      <c r="AS60" s="436">
        <f>IF(AQ60,10,0)</f>
        <v>0</v>
      </c>
      <c r="AT60" s="436">
        <f>IF(AR60,10,0)</f>
        <v>0</v>
      </c>
    </row>
    <row r="61" spans="1:62" s="436" customFormat="1" hidden="1" x14ac:dyDescent="0.35">
      <c r="A61" s="436">
        <v>9</v>
      </c>
      <c r="B61" s="436" t="b">
        <f>AND(8.99&lt;B5,B5&lt;1000)</f>
        <v>0</v>
      </c>
      <c r="C61" s="436" t="b">
        <f>AND(899&lt;C5,C5&lt;1000)</f>
        <v>0</v>
      </c>
      <c r="D61" s="436">
        <f>IF(B61,9,0)</f>
        <v>0</v>
      </c>
      <c r="E61" s="436">
        <f>IF(C61,9,0)</f>
        <v>0</v>
      </c>
      <c r="K61" s="436" t="b">
        <f>AND(899&lt;K5,K5&lt;1000)</f>
        <v>0</v>
      </c>
      <c r="L61" s="436" t="b">
        <f>AND(899&lt;L5,L5&lt;1000)</f>
        <v>0</v>
      </c>
      <c r="M61" s="436" t="b">
        <f>AND(899&lt;M5,M5&lt;1000)</f>
        <v>0</v>
      </c>
      <c r="N61" s="436" t="b">
        <f>AND(899&lt;N5,N5&lt;1000)</f>
        <v>0</v>
      </c>
      <c r="O61" s="436" t="b">
        <f>AND(90%&lt;O5,O5&lt;100%)</f>
        <v>0</v>
      </c>
      <c r="P61" s="436">
        <f>IF(K61,9,0)</f>
        <v>0</v>
      </c>
      <c r="Q61" s="436">
        <f>IF(L61,9,0)</f>
        <v>0</v>
      </c>
      <c r="R61" s="436">
        <f>IF(M61,9,0)</f>
        <v>0</v>
      </c>
      <c r="S61" s="436">
        <f>IF(N61,9,0)</f>
        <v>0</v>
      </c>
      <c r="T61" s="436">
        <f>IF(O61,9,0)</f>
        <v>0</v>
      </c>
      <c r="U61" s="436" t="b">
        <f>AND(94.99%&lt;U5,U5&lt;100%)</f>
        <v>0</v>
      </c>
      <c r="V61" s="436" t="b">
        <f>AND(94.99%&lt;V5,V5&lt;100%)</f>
        <v>0</v>
      </c>
      <c r="W61" s="436" t="b">
        <f>AND(94.99%&lt;W5,W5&lt;100%)</f>
        <v>0</v>
      </c>
      <c r="X61" s="436" t="b">
        <f>AND(94.99%&lt;X5,X5&lt;100%)</f>
        <v>0</v>
      </c>
      <c r="Y61" s="436">
        <f>IF(U61,9,0)</f>
        <v>0</v>
      </c>
      <c r="Z61" s="436">
        <f>IF(V61,9,0)</f>
        <v>0</v>
      </c>
      <c r="AA61" s="436">
        <f>IF(W61,9,0)</f>
        <v>0</v>
      </c>
      <c r="AD61" s="436" t="b">
        <f>AND(89.9%&lt;AC5,AC5&lt;100%)</f>
        <v>0</v>
      </c>
      <c r="AE61" s="436" t="b">
        <f>AND(89.9%&lt;AD5,AD5&lt;100%)</f>
        <v>0</v>
      </c>
      <c r="AF61" s="436">
        <f>IF(AD61,9,0)</f>
        <v>0</v>
      </c>
      <c r="AG61" s="436">
        <f>IF(AE61,9,0)</f>
        <v>0</v>
      </c>
      <c r="AH61" s="436" t="e">
        <f>IF(#REF!,9,0)</f>
        <v>#REF!</v>
      </c>
      <c r="AI61" s="436" t="e">
        <f>IF(#REF!,9,0)</f>
        <v>#REF!</v>
      </c>
      <c r="AJ61" s="436" t="b">
        <f>AND(94.99%&lt;AJ5,AJ5&lt;100%)</f>
        <v>0</v>
      </c>
      <c r="AK61" s="436" t="b">
        <f>AND(94.99%&lt;AK5,AK5&lt;100%)</f>
        <v>0</v>
      </c>
      <c r="AL61" s="436">
        <f>IF(AJ61,9,0)</f>
        <v>0</v>
      </c>
      <c r="AM61" s="436">
        <f>IF(AK61,9,0)</f>
        <v>0</v>
      </c>
      <c r="AQ61" s="436" t="b">
        <f>AND(89.9%&lt;AQ5,AQ5&lt;100%)</f>
        <v>0</v>
      </c>
      <c r="AR61" s="436" t="b">
        <f>AND(89.9%&lt;AR5,AR5&lt;100%)</f>
        <v>0</v>
      </c>
      <c r="AS61" s="436">
        <f>IF(AQ61,9,0)</f>
        <v>0</v>
      </c>
      <c r="AT61" s="436">
        <f>IF(AR61,9,0)</f>
        <v>0</v>
      </c>
    </row>
    <row r="62" spans="1:62" s="436" customFormat="1" hidden="1" x14ac:dyDescent="0.35">
      <c r="A62" s="436">
        <v>8</v>
      </c>
      <c r="B62" s="436" t="b">
        <f>AND(7.99&lt;B5,B5&lt;9)</f>
        <v>0</v>
      </c>
      <c r="C62" s="436" t="b">
        <f>AND(799&lt;C5,C5&lt;900)</f>
        <v>0</v>
      </c>
      <c r="D62" s="436">
        <f>IF(B62,8,0)</f>
        <v>0</v>
      </c>
      <c r="E62" s="436">
        <f>IF(C62,8,0)</f>
        <v>0</v>
      </c>
      <c r="J62" s="511"/>
      <c r="K62" s="436" t="b">
        <f>AND(799&lt;K5,K5&lt;900)</f>
        <v>0</v>
      </c>
      <c r="L62" s="436" t="b">
        <f>AND(799&lt;L5,L5&lt;900)</f>
        <v>0</v>
      </c>
      <c r="M62" s="436" t="b">
        <f>AND(799&lt;M5,M5&lt;900)</f>
        <v>0</v>
      </c>
      <c r="N62" s="436" t="b">
        <f>AND(799&lt;N5,N5&lt;900)</f>
        <v>0</v>
      </c>
      <c r="O62" s="436" t="b">
        <f>AND(80%&lt;O5,O5&lt;89.9%)</f>
        <v>0</v>
      </c>
      <c r="P62" s="436">
        <f>IF(K62,8,0)</f>
        <v>0</v>
      </c>
      <c r="Q62" s="436">
        <f>IF(L62,8,0)</f>
        <v>0</v>
      </c>
      <c r="R62" s="436">
        <f>IF(M62,8,0)</f>
        <v>0</v>
      </c>
      <c r="S62" s="436">
        <f>IF(N62,8,0)</f>
        <v>0</v>
      </c>
      <c r="T62" s="436">
        <f>IF(O62,8,0)</f>
        <v>0</v>
      </c>
      <c r="U62" s="436" t="b">
        <f>AND(89.99%&lt;U5,U5&lt;95%)</f>
        <v>0</v>
      </c>
      <c r="V62" s="436" t="b">
        <f>AND(89.99%&lt;V5,V5&lt;95%)</f>
        <v>0</v>
      </c>
      <c r="W62" s="436" t="b">
        <f>AND(89.99%&lt;W5,W5&lt;95%)</f>
        <v>0</v>
      </c>
      <c r="X62" s="436" t="b">
        <f>AND(89.99%&lt;X5,X5&lt;95%)</f>
        <v>0</v>
      </c>
      <c r="Y62" s="436">
        <f>IF(U62,8,0)</f>
        <v>0</v>
      </c>
      <c r="Z62" s="436">
        <f>IF(V62,8,0)</f>
        <v>0</v>
      </c>
      <c r="AA62" s="436">
        <f>IF(W62,8,0)</f>
        <v>0</v>
      </c>
      <c r="AC62" s="511"/>
      <c r="AD62" s="436" t="b">
        <f>AND(79.9%&lt;AC5,AC5&lt;89.9%)</f>
        <v>0</v>
      </c>
      <c r="AE62" s="436" t="b">
        <f>AND(79.9%&lt;AD5,AD5&lt;89.9%)</f>
        <v>0</v>
      </c>
      <c r="AF62" s="436">
        <f>IF(AD62,8,0)</f>
        <v>0</v>
      </c>
      <c r="AG62" s="436">
        <f>IF(AE62,8,0)</f>
        <v>0</v>
      </c>
      <c r="AH62" s="436" t="e">
        <f>IF(#REF!,8,0)</f>
        <v>#REF!</v>
      </c>
      <c r="AI62" s="436" t="e">
        <f>IF(#REF!,8,0)</f>
        <v>#REF!</v>
      </c>
      <c r="AJ62" s="436" t="b">
        <f>AND(89.99%&lt;AJ5,AJ5&lt;95%)</f>
        <v>0</v>
      </c>
      <c r="AK62" s="436" t="b">
        <f>AND(89.99%&lt;AK5,AK5&lt;95%)</f>
        <v>0</v>
      </c>
      <c r="AL62" s="436">
        <f>IF(AJ62,8,0)</f>
        <v>0</v>
      </c>
      <c r="AM62" s="436">
        <f>IF(AK62,8,0)</f>
        <v>0</v>
      </c>
      <c r="AQ62" s="436" t="b">
        <f>AND(79.9%&lt;AQ5,AQ5&lt;89.9%)</f>
        <v>0</v>
      </c>
      <c r="AR62" s="436" t="b">
        <f>AND(79.9%&lt;AR5,AR5&lt;89.9%)</f>
        <v>0</v>
      </c>
      <c r="AS62" s="436">
        <f>IF(AQ62,8,0)</f>
        <v>0</v>
      </c>
      <c r="AT62" s="436">
        <f>IF(AR62,8,0)</f>
        <v>0</v>
      </c>
    </row>
    <row r="63" spans="1:62" s="436" customFormat="1" hidden="1" x14ac:dyDescent="0.35">
      <c r="A63" s="436">
        <v>7</v>
      </c>
      <c r="B63" s="436" t="b">
        <f>AND(6.99&lt;B5,B5&lt;8)</f>
        <v>0</v>
      </c>
      <c r="C63" s="436" t="b">
        <f>AND(699&lt;C5,C5&lt;800)</f>
        <v>0</v>
      </c>
      <c r="D63" s="436">
        <f>IF(B63,7,0)</f>
        <v>0</v>
      </c>
      <c r="E63" s="436">
        <f>IF(C63,7,0)</f>
        <v>0</v>
      </c>
      <c r="K63" s="436" t="b">
        <f>AND(699&lt;K5,K5&lt;800)</f>
        <v>0</v>
      </c>
      <c r="L63" s="436" t="b">
        <f>AND(699&lt;L5,L5&lt;800)</f>
        <v>0</v>
      </c>
      <c r="M63" s="436" t="b">
        <f>AND(699&lt;M5,M5&lt;800)</f>
        <v>0</v>
      </c>
      <c r="N63" s="436" t="b">
        <f>AND(699&lt;N5,N5&lt;800)</f>
        <v>0</v>
      </c>
      <c r="O63" s="436" t="b">
        <f>AND(70%&lt;O5,O5&lt;79.9%)</f>
        <v>0</v>
      </c>
      <c r="P63" s="436">
        <f>IF(K63,7,0)</f>
        <v>0</v>
      </c>
      <c r="Q63" s="436">
        <f>IF(L63,7,0)</f>
        <v>0</v>
      </c>
      <c r="R63" s="436">
        <f>IF(M63,7,0)</f>
        <v>0</v>
      </c>
      <c r="S63" s="436">
        <f>IF(N63,7,0)</f>
        <v>0</v>
      </c>
      <c r="T63" s="436">
        <f>IF(O63,7,0)</f>
        <v>0</v>
      </c>
      <c r="U63" s="436" t="b">
        <f>AND(84.99%&lt;U5,U5&lt;90%)</f>
        <v>0</v>
      </c>
      <c r="V63" s="436" t="b">
        <f>AND(84.99%&lt;V5,V5&lt;90%)</f>
        <v>0</v>
      </c>
      <c r="W63" s="436" t="b">
        <f>AND(84.99%&lt;W5,W5&lt;90%)</f>
        <v>0</v>
      </c>
      <c r="X63" s="436" t="b">
        <f>AND(84.99%&lt;X5,X5&lt;90%)</f>
        <v>0</v>
      </c>
      <c r="Y63" s="436">
        <f>IF(U63,7,0)</f>
        <v>0</v>
      </c>
      <c r="Z63" s="436">
        <f>IF(V63,7,0)</f>
        <v>0</v>
      </c>
      <c r="AA63" s="436">
        <f>IF(W63,7,0)</f>
        <v>0</v>
      </c>
      <c r="AD63" s="436" t="b">
        <f>AND(69.9%&lt;AC5,AC5&lt;79.9%)</f>
        <v>0</v>
      </c>
      <c r="AE63" s="436" t="b">
        <f>AND(69.9%&lt;AD5,AD5&lt;79.9%)</f>
        <v>0</v>
      </c>
      <c r="AF63" s="436">
        <f>IF(AD63,7,0)</f>
        <v>0</v>
      </c>
      <c r="AG63" s="436">
        <f>IF(AE63,7,0)</f>
        <v>0</v>
      </c>
      <c r="AH63" s="436" t="e">
        <f>IF(#REF!,7,0)</f>
        <v>#REF!</v>
      </c>
      <c r="AI63" s="436" t="e">
        <f>IF(#REF!,7,0)</f>
        <v>#REF!</v>
      </c>
      <c r="AJ63" s="436" t="b">
        <f>AND(84.99%&lt;AJ5,AJ5&lt;90%)</f>
        <v>0</v>
      </c>
      <c r="AK63" s="436" t="b">
        <f>AND(84.99%&lt;AK5,AK5&lt;90%)</f>
        <v>0</v>
      </c>
      <c r="AL63" s="436">
        <f>IF(AJ63,7,0)</f>
        <v>0</v>
      </c>
      <c r="AM63" s="436">
        <f>IF(AK63,7,0)</f>
        <v>0</v>
      </c>
      <c r="AQ63" s="436" t="b">
        <f>AND(69.9%&lt;AQ5,AQ5&lt;79.9%)</f>
        <v>0</v>
      </c>
      <c r="AR63" s="436" t="b">
        <f>AND(69.9%&lt;AR5,AR5&lt;79.9%)</f>
        <v>0</v>
      </c>
      <c r="AS63" s="436">
        <f>IF(AQ63,7,0)</f>
        <v>0</v>
      </c>
      <c r="AT63" s="436">
        <f>IF(AR63,7,0)</f>
        <v>0</v>
      </c>
    </row>
    <row r="64" spans="1:62" s="436" customFormat="1" hidden="1" x14ac:dyDescent="0.35">
      <c r="A64" s="436">
        <v>6</v>
      </c>
      <c r="B64" s="436" t="b">
        <f>AND(5.99&lt;B5,B5&lt;7)</f>
        <v>0</v>
      </c>
      <c r="C64" s="436" t="b">
        <f>AND(599&lt;C5,C5&lt;700)</f>
        <v>0</v>
      </c>
      <c r="D64" s="436">
        <f>IF(B64,6,0)</f>
        <v>0</v>
      </c>
      <c r="E64" s="436">
        <f>IF(C64,6,0)</f>
        <v>0</v>
      </c>
      <c r="J64" s="511"/>
      <c r="K64" s="436" t="b">
        <f>AND(599&lt;K5,K5&lt;700)</f>
        <v>0</v>
      </c>
      <c r="L64" s="436" t="b">
        <f>AND(599&lt;L5,L5&lt;700)</f>
        <v>0</v>
      </c>
      <c r="M64" s="436" t="b">
        <f>AND(599&lt;M5,M5&lt;700)</f>
        <v>0</v>
      </c>
      <c r="N64" s="436" t="b">
        <f>AND(599&lt;N5,N5&lt;700)</f>
        <v>0</v>
      </c>
      <c r="O64" s="436" t="b">
        <f>AND(60%&lt;O5,O5&lt;69.9%)</f>
        <v>0</v>
      </c>
      <c r="P64" s="436">
        <f>IF(K64,6,0)</f>
        <v>0</v>
      </c>
      <c r="Q64" s="436">
        <f>IF(L64,6,0)</f>
        <v>0</v>
      </c>
      <c r="R64" s="436">
        <f>IF(M64,6,0)</f>
        <v>0</v>
      </c>
      <c r="S64" s="436">
        <f>IF(N64,6,0)</f>
        <v>0</v>
      </c>
      <c r="T64" s="436">
        <f>IF(O64,6,0)</f>
        <v>0</v>
      </c>
      <c r="U64" s="436" t="b">
        <f>AND(79.99%&lt;U5,U5&lt;85%)</f>
        <v>0</v>
      </c>
      <c r="V64" s="436" t="b">
        <f>AND(79.99%&lt;V5,V5&lt;85%)</f>
        <v>0</v>
      </c>
      <c r="W64" s="436" t="b">
        <f>AND(79.99%&lt;W5,W5&lt;85%)</f>
        <v>0</v>
      </c>
      <c r="X64" s="436" t="b">
        <f>AND(79.99%&lt;X5,X5&lt;85%)</f>
        <v>0</v>
      </c>
      <c r="Y64" s="436">
        <f>IF(U64,6,0)</f>
        <v>0</v>
      </c>
      <c r="Z64" s="436">
        <f>IF(V64,6,0)</f>
        <v>0</v>
      </c>
      <c r="AA64" s="436">
        <f>IF(W64,6,0)</f>
        <v>0</v>
      </c>
      <c r="AC64" s="511"/>
      <c r="AD64" s="436" t="b">
        <f>AND(59.9%&lt;AC5,AC5&lt;69.9%)</f>
        <v>0</v>
      </c>
      <c r="AE64" s="436" t="b">
        <f>AND(59.9%&lt;AD5,AD5&lt;69.9%)</f>
        <v>0</v>
      </c>
      <c r="AF64" s="436">
        <f>IF(AD64,6,0)</f>
        <v>0</v>
      </c>
      <c r="AG64" s="436">
        <f>IF(AE64,6,0)</f>
        <v>0</v>
      </c>
      <c r="AH64" s="436" t="e">
        <f>IF(#REF!,6,0)</f>
        <v>#REF!</v>
      </c>
      <c r="AI64" s="436" t="e">
        <f>IF(#REF!,6,0)</f>
        <v>#REF!</v>
      </c>
      <c r="AJ64" s="436" t="b">
        <f>AND(79.99%&lt;AJ5,AJ5&lt;85%)</f>
        <v>0</v>
      </c>
      <c r="AK64" s="436" t="b">
        <f>AND(79.99%&lt;AK5,AK5&lt;85%)</f>
        <v>0</v>
      </c>
      <c r="AL64" s="436">
        <f>IF(AJ64,6,0)</f>
        <v>0</v>
      </c>
      <c r="AM64" s="436">
        <f>IF(AK64,6,0)</f>
        <v>0</v>
      </c>
      <c r="AQ64" s="436" t="b">
        <f>AND(59.9%&lt;AQ5,AQ5&lt;69.9%)</f>
        <v>0</v>
      </c>
      <c r="AR64" s="436" t="b">
        <f>AND(59.9%&lt;AR5,AR5&lt;69.9%)</f>
        <v>0</v>
      </c>
      <c r="AS64" s="436">
        <f>IF(AQ64,6,0)</f>
        <v>0</v>
      </c>
      <c r="AT64" s="436">
        <f>IF(AR64,6,0)</f>
        <v>0</v>
      </c>
    </row>
    <row r="65" spans="1:46" s="436" customFormat="1" hidden="1" x14ac:dyDescent="0.35">
      <c r="A65" s="436">
        <v>5</v>
      </c>
      <c r="B65" s="436" t="b">
        <f>AND(4.99&lt;B5,B5&lt;6)</f>
        <v>0</v>
      </c>
      <c r="C65" s="436" t="b">
        <f>AND(499&lt;C5,C5&lt;600)</f>
        <v>0</v>
      </c>
      <c r="D65" s="436">
        <f>IF(B65,5,0)</f>
        <v>0</v>
      </c>
      <c r="E65" s="436">
        <f>IF(C65,5,0)</f>
        <v>0</v>
      </c>
      <c r="K65" s="436" t="b">
        <f>AND(499&lt;K5,K5&lt;600)</f>
        <v>0</v>
      </c>
      <c r="L65" s="436" t="b">
        <f>AND(499&lt;L5,L5&lt;600)</f>
        <v>0</v>
      </c>
      <c r="M65" s="436" t="b">
        <f>AND(499&lt;M5,M5&lt;600)</f>
        <v>0</v>
      </c>
      <c r="N65" s="436" t="b">
        <f>AND(499&lt;N5,N5&lt;600)</f>
        <v>0</v>
      </c>
      <c r="O65" s="436" t="b">
        <f>AND(50%&lt;O5,O5&lt;59.9%)</f>
        <v>0</v>
      </c>
      <c r="P65" s="436">
        <f>IF(K65,5,0)</f>
        <v>0</v>
      </c>
      <c r="Q65" s="436">
        <f>IF(L65,5,0)</f>
        <v>0</v>
      </c>
      <c r="R65" s="436">
        <f>IF(M65,5,0)</f>
        <v>0</v>
      </c>
      <c r="S65" s="436">
        <f>IF(N65,5,0)</f>
        <v>0</v>
      </c>
      <c r="T65" s="436">
        <f>IF(O65,5,0)</f>
        <v>0</v>
      </c>
      <c r="U65" s="436" t="b">
        <f>AND(74.99%&lt;U5,U5&lt;80%)</f>
        <v>0</v>
      </c>
      <c r="V65" s="436" t="b">
        <f>AND(74.99%&lt;V5,V5&lt;80%)</f>
        <v>0</v>
      </c>
      <c r="W65" s="436" t="b">
        <f>AND(74.99%&lt;W5,W5&lt;80%)</f>
        <v>0</v>
      </c>
      <c r="X65" s="436" t="b">
        <f>AND(74.99%&lt;X5,X5&lt;80%)</f>
        <v>0</v>
      </c>
      <c r="Y65" s="436">
        <f>IF(U65,5,0)</f>
        <v>0</v>
      </c>
      <c r="Z65" s="436">
        <f>IF(V65,5,0)</f>
        <v>0</v>
      </c>
      <c r="AA65" s="436">
        <f>IF(W65,5,0)</f>
        <v>0</v>
      </c>
      <c r="AD65" s="436" t="b">
        <f>AND(49.9%&lt;AC5,AC5&lt;59.9%)</f>
        <v>0</v>
      </c>
      <c r="AE65" s="436" t="b">
        <f>AND(49.9%&lt;AD5,AD5&lt;59.9%)</f>
        <v>0</v>
      </c>
      <c r="AF65" s="436">
        <f>IF(AD65,5,0)</f>
        <v>0</v>
      </c>
      <c r="AG65" s="436">
        <f>IF(AE65,5,0)</f>
        <v>0</v>
      </c>
      <c r="AH65" s="436" t="e">
        <f>IF(#REF!,5,0)</f>
        <v>#REF!</v>
      </c>
      <c r="AI65" s="436" t="e">
        <f>IF(#REF!,5,0)</f>
        <v>#REF!</v>
      </c>
      <c r="AJ65" s="436" t="b">
        <f>AND(74.99%&lt;AJ5,AJ5&lt;80%)</f>
        <v>0</v>
      </c>
      <c r="AK65" s="436" t="b">
        <f>AND(74.99%&lt;AK5,AK5&lt;80%)</f>
        <v>0</v>
      </c>
      <c r="AL65" s="436">
        <f>IF(AJ65,5,0)</f>
        <v>0</v>
      </c>
      <c r="AM65" s="436">
        <f>IF(AK65,5,0)</f>
        <v>0</v>
      </c>
      <c r="AQ65" s="436" t="b">
        <f>AND(49.9%&lt;AQ5,AQ5&lt;59.9%)</f>
        <v>0</v>
      </c>
      <c r="AR65" s="436" t="b">
        <f>AND(49.9%&lt;AR5,AR5&lt;59.9%)</f>
        <v>0</v>
      </c>
      <c r="AS65" s="436">
        <f>IF(AQ65,5,0)</f>
        <v>0</v>
      </c>
      <c r="AT65" s="436">
        <f>IF(AR65,5,0)</f>
        <v>0</v>
      </c>
    </row>
    <row r="66" spans="1:46" s="436" customFormat="1" hidden="1" x14ac:dyDescent="0.35">
      <c r="A66" s="436">
        <v>4</v>
      </c>
      <c r="B66" s="436" t="b">
        <f>AND(3.99&lt;B5,B5&lt;5)</f>
        <v>0</v>
      </c>
      <c r="C66" s="436" t="b">
        <f>AND(399&lt;C5,C5&lt;500)</f>
        <v>0</v>
      </c>
      <c r="D66" s="436">
        <f>IF(B66,4,0)</f>
        <v>0</v>
      </c>
      <c r="E66" s="436">
        <f>IF(C66,4,0)</f>
        <v>0</v>
      </c>
      <c r="J66" s="511"/>
      <c r="K66" s="436" t="b">
        <f>AND(399&lt;K5,K5&lt;500)</f>
        <v>0</v>
      </c>
      <c r="L66" s="436" t="b">
        <f>AND(399&lt;L5,L5&lt;500)</f>
        <v>0</v>
      </c>
      <c r="M66" s="436" t="b">
        <f>AND(399&lt;M5,M5&lt;500)</f>
        <v>0</v>
      </c>
      <c r="N66" s="436" t="b">
        <f>AND(399&lt;N5,N5&lt;500)</f>
        <v>0</v>
      </c>
      <c r="O66" s="436" t="b">
        <f>AND(40%&lt;O5,O5&lt;49.9%)</f>
        <v>0</v>
      </c>
      <c r="P66" s="436">
        <f>IF(K66,4,0)</f>
        <v>0</v>
      </c>
      <c r="Q66" s="436">
        <f>IF(L66,4,0)</f>
        <v>0</v>
      </c>
      <c r="R66" s="436">
        <f>IF(M66,4,0)</f>
        <v>0</v>
      </c>
      <c r="S66" s="436">
        <f>IF(N66,4,0)</f>
        <v>0</v>
      </c>
      <c r="T66" s="436">
        <f>IF(O66,4,0)</f>
        <v>0</v>
      </c>
      <c r="U66" s="436" t="b">
        <f>AND(69.99%&lt;U5,U5&lt;75%)</f>
        <v>0</v>
      </c>
      <c r="V66" s="436" t="b">
        <f>AND(69.99%&lt;V5,V5&lt;75%)</f>
        <v>0</v>
      </c>
      <c r="W66" s="436" t="b">
        <f>AND(69.99%&lt;W5,W5&lt;75%)</f>
        <v>0</v>
      </c>
      <c r="X66" s="436" t="b">
        <f>AND(69.99%&lt;X5,X5&lt;75%)</f>
        <v>0</v>
      </c>
      <c r="Y66" s="436">
        <f>IF(U66,4,0)</f>
        <v>0</v>
      </c>
      <c r="Z66" s="436">
        <f>IF(V66,4,0)</f>
        <v>0</v>
      </c>
      <c r="AA66" s="436">
        <f>IF(W66,4,0)</f>
        <v>0</v>
      </c>
      <c r="AC66" s="511"/>
      <c r="AD66" s="436" t="b">
        <f>AND(39.9%&lt;AC5,AC5&lt;49.9%)</f>
        <v>0</v>
      </c>
      <c r="AE66" s="436" t="b">
        <f>AND(39.9%&lt;AD5,AD5&lt;49.9%)</f>
        <v>0</v>
      </c>
      <c r="AF66" s="436">
        <f>IF(AD66,4,0)</f>
        <v>0</v>
      </c>
      <c r="AG66" s="436">
        <f>IF(AE66,4,0)</f>
        <v>0</v>
      </c>
      <c r="AH66" s="436" t="e">
        <f>IF(#REF!,4,0)</f>
        <v>#REF!</v>
      </c>
      <c r="AI66" s="436" t="e">
        <f>IF(#REF!,4,0)</f>
        <v>#REF!</v>
      </c>
      <c r="AJ66" s="436" t="b">
        <f>AND(69.99%&lt;AJ5,AJ5&lt;75%)</f>
        <v>0</v>
      </c>
      <c r="AK66" s="436" t="b">
        <f>AND(69.99%&lt;AK5,AK5&lt;75%)</f>
        <v>0</v>
      </c>
      <c r="AL66" s="436">
        <f>IF(AJ66,4,0)</f>
        <v>0</v>
      </c>
      <c r="AM66" s="436">
        <f>IF(AK66,4,0)</f>
        <v>0</v>
      </c>
      <c r="AQ66" s="436" t="b">
        <f>AND(39.9%&lt;AQ5,AQ5&lt;49.9%)</f>
        <v>0</v>
      </c>
      <c r="AR66" s="436" t="b">
        <f>AND(39.9%&lt;AR5,AR5&lt;49.9%)</f>
        <v>0</v>
      </c>
      <c r="AS66" s="436">
        <f>IF(AQ66,4,0)</f>
        <v>0</v>
      </c>
      <c r="AT66" s="436">
        <f>IF(AR66,4,0)</f>
        <v>0</v>
      </c>
    </row>
    <row r="67" spans="1:46" s="436" customFormat="1" hidden="1" x14ac:dyDescent="0.35">
      <c r="A67" s="436">
        <v>3</v>
      </c>
      <c r="B67" s="436" t="b">
        <f>AND(2.99&lt;B5,B5&lt;4)</f>
        <v>0</v>
      </c>
      <c r="C67" s="436" t="b">
        <f>AND(299&lt;C5,C5&lt;400)</f>
        <v>0</v>
      </c>
      <c r="D67" s="436">
        <f>IF(B67,3,0)</f>
        <v>0</v>
      </c>
      <c r="E67" s="436">
        <f>IF(C67,3,0)</f>
        <v>0</v>
      </c>
      <c r="K67" s="436" t="b">
        <f>AND(299&lt;K5,K5&lt;400)</f>
        <v>0</v>
      </c>
      <c r="L67" s="436" t="b">
        <f>AND(299&lt;L5,L5&lt;400)</f>
        <v>0</v>
      </c>
      <c r="M67" s="436" t="b">
        <f>AND(299&lt;M5,M5&lt;400)</f>
        <v>0</v>
      </c>
      <c r="N67" s="436" t="b">
        <f>AND(299&lt;N5,N5&lt;400)</f>
        <v>0</v>
      </c>
      <c r="O67" s="436" t="b">
        <f>AND(30%&lt;O5,O5&lt;39.9%)</f>
        <v>0</v>
      </c>
      <c r="P67" s="436">
        <f>IF(K67,3,0)</f>
        <v>0</v>
      </c>
      <c r="Q67" s="436">
        <f>IF(L67,3,0)</f>
        <v>0</v>
      </c>
      <c r="R67" s="436">
        <f>IF(M67,3,0)</f>
        <v>0</v>
      </c>
      <c r="S67" s="436">
        <f>IF(N67,3,0)</f>
        <v>0</v>
      </c>
      <c r="T67" s="436">
        <f>IF(O67,3,0)</f>
        <v>0</v>
      </c>
      <c r="U67" s="436" t="b">
        <f>AND(64.99%&lt;U5,U5&lt;70%)</f>
        <v>0</v>
      </c>
      <c r="V67" s="436" t="b">
        <f>AND(64.99%&lt;V5,V5&lt;70%)</f>
        <v>0</v>
      </c>
      <c r="W67" s="436" t="b">
        <f>AND(64.99%&lt;W5,W5&lt;70%)</f>
        <v>0</v>
      </c>
      <c r="X67" s="436" t="b">
        <f>AND(64.99%&lt;X5,X5&lt;70%)</f>
        <v>0</v>
      </c>
      <c r="Y67" s="436">
        <f>IF(U67,3,0)</f>
        <v>0</v>
      </c>
      <c r="Z67" s="436">
        <f>IF(V67,3,0)</f>
        <v>0</v>
      </c>
      <c r="AA67" s="436">
        <f>IF(W67,3,0)</f>
        <v>0</v>
      </c>
      <c r="AD67" s="436" t="b">
        <f>AND(29.9%&lt;AC5,AC5&lt;39.9%)</f>
        <v>0</v>
      </c>
      <c r="AE67" s="436" t="b">
        <f>AND(29.9%&lt;AD5,AD5&lt;39.9%)</f>
        <v>0</v>
      </c>
      <c r="AF67" s="436">
        <f>IF(AD67,3,0)</f>
        <v>0</v>
      </c>
      <c r="AG67" s="436">
        <f>IF(AE67,3,0)</f>
        <v>0</v>
      </c>
      <c r="AH67" s="436" t="e">
        <f>IF(#REF!,3,0)</f>
        <v>#REF!</v>
      </c>
      <c r="AI67" s="436" t="e">
        <f>IF(#REF!,3,0)</f>
        <v>#REF!</v>
      </c>
      <c r="AJ67" s="436" t="b">
        <f>AND(64.99%&lt;AJ5,AJ5&lt;70%)</f>
        <v>0</v>
      </c>
      <c r="AK67" s="436" t="b">
        <f>AND(64.99%&lt;AK5,AK5&lt;70%)</f>
        <v>0</v>
      </c>
      <c r="AL67" s="436">
        <f>IF(AJ67,3,0)</f>
        <v>0</v>
      </c>
      <c r="AM67" s="436">
        <f>IF(AK67,3,0)</f>
        <v>0</v>
      </c>
      <c r="AQ67" s="436" t="b">
        <f>AND(29.9%&lt;AQ5,AQ5&lt;39.9%)</f>
        <v>0</v>
      </c>
      <c r="AR67" s="436" t="b">
        <f>AND(29.9%&lt;AR5,AR5&lt;39.9%)</f>
        <v>0</v>
      </c>
      <c r="AS67" s="436">
        <f>IF(AQ67,3,0)</f>
        <v>0</v>
      </c>
      <c r="AT67" s="436">
        <f>IF(AR67,3,0)</f>
        <v>0</v>
      </c>
    </row>
    <row r="68" spans="1:46" s="436" customFormat="1" hidden="1" x14ac:dyDescent="0.35">
      <c r="A68" s="436">
        <v>2</v>
      </c>
      <c r="B68" s="436" t="b">
        <f>AND(1.99&lt;B5,B5&lt;3)</f>
        <v>0</v>
      </c>
      <c r="C68" s="436" t="b">
        <f>AND(199&lt;C5,C5&lt;300)</f>
        <v>0</v>
      </c>
      <c r="D68" s="436">
        <f>IF(B68,2,0)</f>
        <v>0</v>
      </c>
      <c r="E68" s="436">
        <f>IF(C68,2,0)</f>
        <v>0</v>
      </c>
      <c r="J68" s="511"/>
      <c r="K68" s="436" t="b">
        <f>AND(199&lt;K5,K5&lt;300)</f>
        <v>0</v>
      </c>
      <c r="L68" s="436" t="b">
        <f>AND(199&lt;L5,L5&lt;300)</f>
        <v>0</v>
      </c>
      <c r="M68" s="436" t="b">
        <f>AND(199&lt;M5,M5&lt;300)</f>
        <v>0</v>
      </c>
      <c r="N68" s="436" t="b">
        <f>AND(199&lt;N5,N5&lt;300)</f>
        <v>0</v>
      </c>
      <c r="O68" s="436" t="b">
        <f>AND(20%&lt;O5,O5&lt;29.9%)</f>
        <v>0</v>
      </c>
      <c r="P68" s="436">
        <f>IF(K68,2,0)</f>
        <v>0</v>
      </c>
      <c r="Q68" s="436">
        <f>IF(L68,2,0)</f>
        <v>0</v>
      </c>
      <c r="R68" s="436">
        <f>IF(M68,2,0)</f>
        <v>0</v>
      </c>
      <c r="S68" s="436">
        <f>IF(N68,2,0)</f>
        <v>0</v>
      </c>
      <c r="T68" s="436">
        <f>IF(O68,2,0)</f>
        <v>0</v>
      </c>
      <c r="U68" s="436" t="b">
        <f>AND(59.99%&lt;U5,U5&lt;65%)</f>
        <v>0</v>
      </c>
      <c r="V68" s="436" t="b">
        <f>AND(59.99%&lt;V5,V5&lt;65%)</f>
        <v>0</v>
      </c>
      <c r="W68" s="436" t="b">
        <f>AND(59.99%&lt;W5,W5&lt;65%)</f>
        <v>0</v>
      </c>
      <c r="X68" s="436" t="b">
        <f>AND(59.99%&lt;X5,X5&lt;65%)</f>
        <v>0</v>
      </c>
      <c r="Y68" s="436">
        <f>IF(U68,2,0)</f>
        <v>0</v>
      </c>
      <c r="Z68" s="436">
        <f>IF(V68,2,0)</f>
        <v>0</v>
      </c>
      <c r="AA68" s="436">
        <f>IF(W68,2,0)</f>
        <v>0</v>
      </c>
      <c r="AC68" s="511"/>
      <c r="AD68" s="436" t="b">
        <f>AND(19.9%&lt;AC5,AC5&lt;29.9%)</f>
        <v>0</v>
      </c>
      <c r="AE68" s="436" t="b">
        <f>AND(19.9%&lt;AD5,AD5&lt;29.9%)</f>
        <v>0</v>
      </c>
      <c r="AF68" s="436">
        <f>IF(AD68,2,0)</f>
        <v>0</v>
      </c>
      <c r="AG68" s="436">
        <f>IF(AE68,2,0)</f>
        <v>0</v>
      </c>
      <c r="AH68" s="436" t="e">
        <f>IF(#REF!,2,0)</f>
        <v>#REF!</v>
      </c>
      <c r="AI68" s="436" t="e">
        <f>IF(#REF!,2,0)</f>
        <v>#REF!</v>
      </c>
      <c r="AJ68" s="436" t="b">
        <f>AND(59.99%&lt;AJ5,AJ5&lt;65%)</f>
        <v>0</v>
      </c>
      <c r="AK68" s="436" t="b">
        <f>AND(59.99%&lt;AK5,AK5&lt;65%)</f>
        <v>0</v>
      </c>
      <c r="AL68" s="436">
        <f>IF(AJ68,2,0)</f>
        <v>0</v>
      </c>
      <c r="AM68" s="436">
        <f>IF(AK68,2,0)</f>
        <v>0</v>
      </c>
      <c r="AQ68" s="436" t="b">
        <f>AND(19.9%&lt;AQ5,AQ5&lt;29.9%)</f>
        <v>0</v>
      </c>
      <c r="AR68" s="436" t="b">
        <f>AND(19.9%&lt;AR5,AR5&lt;29.9%)</f>
        <v>0</v>
      </c>
      <c r="AS68" s="436">
        <f>IF(AQ68,2,0)</f>
        <v>0</v>
      </c>
      <c r="AT68" s="436">
        <f>IF(AR68,2,0)</f>
        <v>0</v>
      </c>
    </row>
    <row r="69" spans="1:46" s="436" customFormat="1" hidden="1" x14ac:dyDescent="0.35">
      <c r="A69" s="436">
        <v>1</v>
      </c>
      <c r="B69" s="436" t="b">
        <f>AND(0.99&lt;B5,B5&lt;2)</f>
        <v>0</v>
      </c>
      <c r="C69" s="436" t="b">
        <f>AND(99&lt;C5,C5&lt;200)</f>
        <v>0</v>
      </c>
      <c r="D69" s="436">
        <f>IF(B69,1,0)</f>
        <v>0</v>
      </c>
      <c r="E69" s="436">
        <f>IF(C69,1,0)</f>
        <v>0</v>
      </c>
      <c r="K69" s="436" t="b">
        <f>AND(99&lt;K5,K5&lt;200)</f>
        <v>0</v>
      </c>
      <c r="L69" s="436" t="b">
        <f>AND(99&lt;L5,L5&lt;200)</f>
        <v>0</v>
      </c>
      <c r="M69" s="436" t="b">
        <f>AND(99&lt;M5,M5&lt;200)</f>
        <v>0</v>
      </c>
      <c r="N69" s="436" t="b">
        <f>AND(99&lt;N5,N5&lt;200)</f>
        <v>0</v>
      </c>
      <c r="O69" s="436" t="b">
        <f>AND(10%&lt;O5,O5&lt;19.9%)</f>
        <v>0</v>
      </c>
      <c r="P69" s="436">
        <f>IF(K69,1,0)</f>
        <v>0</v>
      </c>
      <c r="Q69" s="436">
        <f>IF(L69,1,0)</f>
        <v>0</v>
      </c>
      <c r="R69" s="436">
        <f>IF(M69,1,0)</f>
        <v>0</v>
      </c>
      <c r="S69" s="436">
        <f>IF(N69,1,0)</f>
        <v>0</v>
      </c>
      <c r="T69" s="436">
        <f>IF(O69,1,0)</f>
        <v>0</v>
      </c>
      <c r="U69" s="436" t="b">
        <f>AND(54.99%&lt;U5,U5&lt;60%)</f>
        <v>0</v>
      </c>
      <c r="V69" s="436" t="b">
        <f>AND(54.99%&lt;V5,V5&lt;60%)</f>
        <v>0</v>
      </c>
      <c r="W69" s="436" t="b">
        <f>AND(54.99%&lt;W5,W5&lt;60%)</f>
        <v>0</v>
      </c>
      <c r="X69" s="436" t="b">
        <f>AND(54.99%&lt;X5,X5&lt;60%)</f>
        <v>0</v>
      </c>
      <c r="Y69" s="436">
        <f>IF(U69,1,0)</f>
        <v>0</v>
      </c>
      <c r="Z69" s="436">
        <f>IF(V69,1,0)</f>
        <v>0</v>
      </c>
      <c r="AA69" s="436">
        <f>IF(W69,1,0)</f>
        <v>0</v>
      </c>
      <c r="AD69" s="436" t="b">
        <f>AND(9.9%&lt;AC5,AC5&lt;19.9%)</f>
        <v>0</v>
      </c>
      <c r="AE69" s="436" t="b">
        <f>AND(9.9%&lt;AD5,AD5&lt;19.9%)</f>
        <v>0</v>
      </c>
      <c r="AF69" s="436">
        <f>IF(AD69,1,0)</f>
        <v>0</v>
      </c>
      <c r="AG69" s="436">
        <f>IF(AE69,1,0)</f>
        <v>0</v>
      </c>
      <c r="AH69" s="436" t="e">
        <f>IF(#REF!,1,0)</f>
        <v>#REF!</v>
      </c>
      <c r="AI69" s="436" t="e">
        <f>IF(#REF!,1,0)</f>
        <v>#REF!</v>
      </c>
      <c r="AJ69" s="436" t="b">
        <f>AND(54.99%&lt;AJ5,AJ5&lt;60%)</f>
        <v>0</v>
      </c>
      <c r="AK69" s="436" t="b">
        <f>AND(54.99%&lt;AK5,AK5&lt;60%)</f>
        <v>0</v>
      </c>
      <c r="AL69" s="436">
        <f>IF(AJ69,1,0)</f>
        <v>0</v>
      </c>
      <c r="AM69" s="436">
        <f>IF(AK69,1,0)</f>
        <v>0</v>
      </c>
      <c r="AQ69" s="436" t="b">
        <f>AND(9.9%&lt;AQ5,AQ5&lt;19.9%)</f>
        <v>0</v>
      </c>
      <c r="AR69" s="436" t="b">
        <f>AND(9.9%&lt;AR5,AR5&lt;19.9%)</f>
        <v>0</v>
      </c>
      <c r="AS69" s="436">
        <f>IF(AQ69,1,0)</f>
        <v>0</v>
      </c>
      <c r="AT69" s="436">
        <f>IF(AR69,1,0)</f>
        <v>0</v>
      </c>
    </row>
    <row r="70" spans="1:46" s="436" customFormat="1" hidden="1" x14ac:dyDescent="0.35">
      <c r="A70" s="436">
        <v>0</v>
      </c>
      <c r="B70" s="436" t="b">
        <f>AND(0&lt;B5,B5&lt;1)</f>
        <v>0</v>
      </c>
      <c r="C70" s="436" t="b">
        <f>AND(99&lt;C5,C5&lt;200)</f>
        <v>0</v>
      </c>
      <c r="D70" s="436">
        <f>IF(B70,10,0)</f>
        <v>0</v>
      </c>
      <c r="E70" s="436">
        <f>IF(C70,0,0)</f>
        <v>0</v>
      </c>
      <c r="J70" s="511"/>
      <c r="K70" s="436" t="b">
        <f>AND(99&lt;K5,K5&lt;200)</f>
        <v>0</v>
      </c>
      <c r="L70" s="436" t="b">
        <f>AND(99&lt;L5,L5&lt;200)</f>
        <v>0</v>
      </c>
      <c r="M70" s="436" t="b">
        <f>AND(99&lt;M5,M5&lt;200)</f>
        <v>0</v>
      </c>
      <c r="N70" s="436" t="b">
        <f>AND(99&lt;N5,N5&lt;200)</f>
        <v>0</v>
      </c>
      <c r="O70" s="436" t="b">
        <f>AND(0%&lt;O5,O5&lt;9.9%)</f>
        <v>0</v>
      </c>
      <c r="P70" s="436">
        <f>IF(K70,0,0)</f>
        <v>0</v>
      </c>
      <c r="Q70" s="436">
        <f>IF(L70,0,0)</f>
        <v>0</v>
      </c>
      <c r="R70" s="436">
        <f>IF(M70,0,0)</f>
        <v>0</v>
      </c>
      <c r="S70" s="436">
        <f>IF(N70,0,0)</f>
        <v>0</v>
      </c>
      <c r="T70" s="436">
        <f>IF(O70,0,0)</f>
        <v>0</v>
      </c>
      <c r="U70" s="436" t="b">
        <f>AND(0%&lt;U5,U5&lt;55%)</f>
        <v>0</v>
      </c>
      <c r="V70" s="436" t="b">
        <f>AND(0%&lt;V5,V5&lt;55%)</f>
        <v>0</v>
      </c>
      <c r="W70" s="436" t="b">
        <f>AND(0%&lt;W5,W5&lt;55%)</f>
        <v>0</v>
      </c>
      <c r="X70" s="436" t="b">
        <f>AND(0%&lt;X5,X5&lt;55%)</f>
        <v>0</v>
      </c>
      <c r="Y70" s="436">
        <f>IF(U70,0,0)</f>
        <v>0</v>
      </c>
      <c r="Z70" s="436">
        <f>IF(V70,0,0)</f>
        <v>0</v>
      </c>
      <c r="AA70" s="436">
        <f>IF(W70,0,0)</f>
        <v>0</v>
      </c>
      <c r="AC70" s="511"/>
      <c r="AD70" s="436" t="b">
        <f>AND(0%&lt;AC5,AC5&lt;9.9%)</f>
        <v>0</v>
      </c>
      <c r="AE70" s="436" t="b">
        <f>AND(0%&lt;AD5,AD5&lt;9.9%)</f>
        <v>0</v>
      </c>
      <c r="AF70" s="436">
        <f>IF(AE70,0,0)</f>
        <v>0</v>
      </c>
      <c r="AG70" s="436">
        <f>IF(AE70,0,0)</f>
        <v>0</v>
      </c>
      <c r="AH70" s="436" t="e">
        <f>IF(#REF!,0,0)</f>
        <v>#REF!</v>
      </c>
      <c r="AI70" s="436" t="e">
        <f>IF(#REF!,0,0)</f>
        <v>#REF!</v>
      </c>
      <c r="AJ70" s="436" t="b">
        <f>AND(0%&lt;AJ5,AJ5&lt;55%)</f>
        <v>0</v>
      </c>
      <c r="AK70" s="436" t="b">
        <f>AND(0%&lt;AK5,AK5&lt;55%)</f>
        <v>0</v>
      </c>
      <c r="AL70" s="436">
        <f>IF(AJ70,0,0)</f>
        <v>0</v>
      </c>
      <c r="AM70" s="436">
        <f>IF(AK70,0,0)</f>
        <v>0</v>
      </c>
      <c r="AQ70" s="436" t="b">
        <f>AND(0%&lt;AQ5,AQ5&lt;9.9%)</f>
        <v>0</v>
      </c>
      <c r="AR70" s="436" t="b">
        <f>AND(0%&lt;AR5,AR5&lt;9.9%)</f>
        <v>0</v>
      </c>
      <c r="AS70" s="436">
        <f>IF(AQ70,0,0)</f>
        <v>0</v>
      </c>
      <c r="AT70" s="436">
        <f>IF(AR70,0,0)</f>
        <v>0</v>
      </c>
    </row>
    <row r="71" spans="1:46" s="436" customFormat="1" hidden="1" x14ac:dyDescent="0.35">
      <c r="D71" s="436">
        <f>SUM(D60:D70)</f>
        <v>0</v>
      </c>
      <c r="E71" s="436">
        <f>SUM(E60:E70)</f>
        <v>0</v>
      </c>
      <c r="P71" s="436">
        <f>SUM(P60:P70)</f>
        <v>0</v>
      </c>
      <c r="Q71" s="436">
        <f>SUM(Q60:Q70)</f>
        <v>0</v>
      </c>
      <c r="R71" s="436">
        <f>SUM(R60:R70)</f>
        <v>0</v>
      </c>
      <c r="S71" s="436">
        <f>SUM(S60:S70)</f>
        <v>0</v>
      </c>
      <c r="T71" s="436">
        <f>SUM(T60:T70)</f>
        <v>0</v>
      </c>
      <c r="Y71" s="436">
        <f>SUM(Y60:Y70)</f>
        <v>0</v>
      </c>
      <c r="Z71" s="436">
        <f>SUM(Z60:Z70)</f>
        <v>0</v>
      </c>
      <c r="AA71" s="436">
        <f>SUM(AA60:AA70)</f>
        <v>0</v>
      </c>
      <c r="AF71" s="436">
        <f>SUM(AF60:AF70)</f>
        <v>0</v>
      </c>
      <c r="AG71" s="436">
        <f>SUM(AG60:AG70)</f>
        <v>0</v>
      </c>
      <c r="AH71" s="436" t="e">
        <f>SUM(AH60:AH70)</f>
        <v>#REF!</v>
      </c>
      <c r="AI71" s="436" t="e">
        <f>SUM(AI60:AI70)</f>
        <v>#REF!</v>
      </c>
      <c r="AL71" s="436">
        <f>SUM(AL60:AL70)</f>
        <v>0</v>
      </c>
      <c r="AM71" s="436">
        <f>SUM(AM60:AM70)</f>
        <v>0</v>
      </c>
      <c r="AS71" s="436">
        <f>SUM(AS60:AS70)</f>
        <v>0</v>
      </c>
      <c r="AT71" s="436">
        <f>SUM(AT60:AT70)</f>
        <v>0</v>
      </c>
    </row>
    <row r="72" spans="1:46" s="436" customFormat="1" hidden="1" x14ac:dyDescent="0.35">
      <c r="D72" s="512"/>
      <c r="AC72" s="511"/>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8" t="s">
        <v>386</v>
      </c>
      <c r="H1" s="349" t="s">
        <v>387</v>
      </c>
      <c r="I1" s="144"/>
      <c r="J1" s="144"/>
      <c r="Q1"/>
    </row>
    <row r="2" spans="1:22" ht="15" thickBot="1" x14ac:dyDescent="0.4"/>
    <row r="3" spans="1:22" x14ac:dyDescent="0.35">
      <c r="A3" s="350" t="s">
        <v>80</v>
      </c>
      <c r="B3" s="351" t="s">
        <v>386</v>
      </c>
      <c r="C3" s="351"/>
      <c r="D3" s="351"/>
      <c r="E3" s="351"/>
      <c r="F3" s="351"/>
      <c r="G3" s="351"/>
      <c r="H3" s="352"/>
      <c r="I3" s="353" t="s">
        <v>390</v>
      </c>
      <c r="J3" s="351"/>
      <c r="K3" s="631"/>
      <c r="L3" s="631"/>
      <c r="M3" s="631"/>
      <c r="N3" s="631"/>
      <c r="O3" s="352"/>
      <c r="P3" s="353" t="s">
        <v>81</v>
      </c>
      <c r="Q3" s="351"/>
      <c r="R3" s="351"/>
      <c r="S3" s="351"/>
      <c r="T3" s="351"/>
      <c r="U3" s="351"/>
      <c r="V3" s="357"/>
    </row>
    <row r="4" spans="1:22" ht="63.5" x14ac:dyDescent="0.35">
      <c r="A4" s="354" t="s">
        <v>391</v>
      </c>
      <c r="B4" s="141" t="s">
        <v>392</v>
      </c>
      <c r="C4" s="141" t="s">
        <v>414</v>
      </c>
      <c r="D4" s="141" t="s">
        <v>82</v>
      </c>
      <c r="E4" s="141" t="s">
        <v>83</v>
      </c>
      <c r="F4" s="141" t="s">
        <v>84</v>
      </c>
      <c r="G4" s="355" t="s">
        <v>92</v>
      </c>
      <c r="I4" s="356" t="s">
        <v>393</v>
      </c>
      <c r="J4" s="141" t="s">
        <v>414</v>
      </c>
      <c r="K4" s="141" t="s">
        <v>82</v>
      </c>
      <c r="L4" s="141" t="s">
        <v>83</v>
      </c>
      <c r="M4" s="141" t="s">
        <v>84</v>
      </c>
      <c r="N4" s="355" t="s">
        <v>92</v>
      </c>
      <c r="P4" s="356" t="s">
        <v>394</v>
      </c>
      <c r="Q4" s="141" t="s">
        <v>414</v>
      </c>
      <c r="R4" s="141" t="s">
        <v>82</v>
      </c>
      <c r="S4" s="141" t="s">
        <v>83</v>
      </c>
      <c r="T4" s="141" t="s">
        <v>84</v>
      </c>
      <c r="U4" s="355" t="s">
        <v>92</v>
      </c>
    </row>
    <row r="5" spans="1:22" x14ac:dyDescent="0.35">
      <c r="A5" s="357"/>
      <c r="B5" s="139" t="s">
        <v>77</v>
      </c>
      <c r="C5" s="138">
        <v>40</v>
      </c>
      <c r="D5" s="138">
        <v>5</v>
      </c>
      <c r="E5" s="138">
        <v>3</v>
      </c>
      <c r="F5" s="138">
        <v>12</v>
      </c>
      <c r="G5" s="138" t="s">
        <v>452</v>
      </c>
      <c r="I5" s="139" t="s">
        <v>77</v>
      </c>
      <c r="J5" s="142">
        <v>5</v>
      </c>
      <c r="K5" s="142">
        <v>8</v>
      </c>
      <c r="L5" s="142">
        <v>1</v>
      </c>
      <c r="M5" s="142">
        <v>4</v>
      </c>
      <c r="N5" s="142">
        <v>12</v>
      </c>
      <c r="P5" s="139" t="s">
        <v>77</v>
      </c>
      <c r="Q5" s="143">
        <v>2</v>
      </c>
      <c r="R5" s="143">
        <v>8</v>
      </c>
      <c r="S5" s="143">
        <v>1</v>
      </c>
      <c r="T5" s="143">
        <v>8</v>
      </c>
      <c r="U5" s="143">
        <v>15</v>
      </c>
    </row>
    <row r="6" spans="1:22" x14ac:dyDescent="0.35">
      <c r="A6" s="357"/>
      <c r="B6" s="139" t="s">
        <v>389</v>
      </c>
      <c r="C6" s="138">
        <v>40</v>
      </c>
      <c r="D6" s="138">
        <v>5</v>
      </c>
      <c r="E6" s="138">
        <v>3</v>
      </c>
      <c r="F6" s="138">
        <v>12</v>
      </c>
      <c r="G6" s="138" t="s">
        <v>452</v>
      </c>
      <c r="I6" s="139" t="s">
        <v>389</v>
      </c>
      <c r="J6" s="142">
        <v>5</v>
      </c>
      <c r="K6" s="142">
        <v>6</v>
      </c>
      <c r="L6" s="142">
        <v>1</v>
      </c>
      <c r="M6" s="142">
        <v>4</v>
      </c>
      <c r="N6" s="142">
        <v>12</v>
      </c>
      <c r="P6" s="139" t="s">
        <v>389</v>
      </c>
      <c r="Q6" s="143">
        <v>2</v>
      </c>
      <c r="R6" s="143">
        <v>8</v>
      </c>
      <c r="S6" s="143">
        <v>1</v>
      </c>
      <c r="T6" s="143">
        <v>8</v>
      </c>
      <c r="U6" s="143">
        <v>15</v>
      </c>
    </row>
    <row r="7" spans="1:22" x14ac:dyDescent="0.35">
      <c r="A7" s="357"/>
      <c r="B7" s="139" t="s">
        <v>184</v>
      </c>
      <c r="C7" s="138">
        <v>30</v>
      </c>
      <c r="D7" s="138">
        <v>3</v>
      </c>
      <c r="E7" s="138">
        <v>2</v>
      </c>
      <c r="F7" s="138">
        <v>10</v>
      </c>
      <c r="G7" s="138" t="s">
        <v>452</v>
      </c>
      <c r="I7" s="139" t="s">
        <v>184</v>
      </c>
      <c r="J7" s="142">
        <v>2</v>
      </c>
      <c r="K7" s="142">
        <v>5</v>
      </c>
      <c r="L7" s="142">
        <v>1</v>
      </c>
      <c r="M7" s="142">
        <v>4</v>
      </c>
      <c r="N7" s="142">
        <v>6</v>
      </c>
      <c r="P7" s="139" t="s">
        <v>184</v>
      </c>
      <c r="Q7" s="143">
        <v>2</v>
      </c>
      <c r="R7" s="143">
        <v>6</v>
      </c>
      <c r="S7" s="143">
        <v>1</v>
      </c>
      <c r="T7" s="143">
        <v>4</v>
      </c>
      <c r="U7" s="143">
        <v>10</v>
      </c>
    </row>
    <row r="8" spans="1:22" x14ac:dyDescent="0.35">
      <c r="A8" s="357"/>
      <c r="B8" s="139" t="s">
        <v>183</v>
      </c>
      <c r="C8" s="138">
        <v>30</v>
      </c>
      <c r="D8" s="138">
        <v>3</v>
      </c>
      <c r="E8" s="138">
        <v>2</v>
      </c>
      <c r="F8" s="138">
        <v>10</v>
      </c>
      <c r="G8" s="138" t="s">
        <v>452</v>
      </c>
      <c r="I8" s="139" t="s">
        <v>183</v>
      </c>
      <c r="J8" s="142">
        <v>2</v>
      </c>
      <c r="K8" s="142">
        <v>4</v>
      </c>
      <c r="L8" s="142">
        <v>1</v>
      </c>
      <c r="M8" s="142">
        <v>4</v>
      </c>
      <c r="N8" s="142">
        <v>6</v>
      </c>
      <c r="P8" s="139" t="s">
        <v>183</v>
      </c>
      <c r="Q8" s="143">
        <v>2</v>
      </c>
      <c r="R8" s="143">
        <v>6</v>
      </c>
      <c r="S8" s="143">
        <v>1</v>
      </c>
      <c r="T8" s="143">
        <v>4</v>
      </c>
      <c r="U8" s="143">
        <v>10</v>
      </c>
    </row>
    <row r="9" spans="1:22" x14ac:dyDescent="0.35">
      <c r="A9" s="357"/>
      <c r="B9" s="139" t="s">
        <v>94</v>
      </c>
      <c r="C9" s="138">
        <v>20</v>
      </c>
      <c r="D9" s="138">
        <v>3</v>
      </c>
      <c r="E9" s="138">
        <v>1</v>
      </c>
      <c r="F9" s="138">
        <v>6</v>
      </c>
      <c r="G9" s="138" t="s">
        <v>452</v>
      </c>
      <c r="I9" s="139" t="s">
        <v>94</v>
      </c>
      <c r="J9" s="142">
        <v>2</v>
      </c>
      <c r="K9" s="142">
        <v>4</v>
      </c>
      <c r="L9" s="142">
        <v>1</v>
      </c>
      <c r="M9" s="142">
        <v>4</v>
      </c>
      <c r="N9" s="142">
        <v>4</v>
      </c>
      <c r="P9" s="139" t="s">
        <v>94</v>
      </c>
      <c r="Q9" s="143">
        <v>2</v>
      </c>
      <c r="R9" s="143">
        <v>4</v>
      </c>
      <c r="S9" s="143">
        <v>1</v>
      </c>
      <c r="T9" s="143">
        <v>4</v>
      </c>
      <c r="U9" s="143">
        <v>4</v>
      </c>
    </row>
    <row r="10" spans="1:22" x14ac:dyDescent="0.35">
      <c r="A10" s="357"/>
      <c r="B10" s="139" t="s">
        <v>385</v>
      </c>
      <c r="C10" s="138">
        <v>20</v>
      </c>
      <c r="D10" s="138">
        <v>3</v>
      </c>
      <c r="E10" s="138">
        <v>1</v>
      </c>
      <c r="F10" s="138">
        <v>6</v>
      </c>
      <c r="G10" s="138" t="s">
        <v>452</v>
      </c>
      <c r="I10" s="139" t="s">
        <v>385</v>
      </c>
      <c r="J10" s="142">
        <v>2</v>
      </c>
      <c r="K10" s="142">
        <v>6</v>
      </c>
      <c r="L10" s="142">
        <v>1</v>
      </c>
      <c r="M10" s="142">
        <v>4</v>
      </c>
      <c r="N10" s="142">
        <v>6</v>
      </c>
      <c r="P10" s="139" t="s">
        <v>385</v>
      </c>
      <c r="Q10" s="143">
        <v>2</v>
      </c>
      <c r="R10" s="143">
        <v>6</v>
      </c>
      <c r="S10" s="143">
        <v>1</v>
      </c>
      <c r="T10" s="143">
        <v>4</v>
      </c>
      <c r="U10" s="143">
        <v>10</v>
      </c>
    </row>
    <row r="11" spans="1:22" x14ac:dyDescent="0.35">
      <c r="A11" s="357"/>
      <c r="B11" s="139" t="s">
        <v>182</v>
      </c>
      <c r="C11" s="138">
        <v>20</v>
      </c>
      <c r="D11" s="138">
        <v>3</v>
      </c>
      <c r="E11" s="138">
        <v>1</v>
      </c>
      <c r="F11" s="138">
        <v>6</v>
      </c>
      <c r="G11" s="138" t="s">
        <v>452</v>
      </c>
      <c r="I11" s="139" t="s">
        <v>182</v>
      </c>
      <c r="J11" s="142">
        <v>2</v>
      </c>
      <c r="K11" s="142">
        <v>4</v>
      </c>
      <c r="L11" s="142">
        <v>1</v>
      </c>
      <c r="M11" s="142">
        <v>4</v>
      </c>
      <c r="N11" s="142">
        <v>3</v>
      </c>
      <c r="P11" s="139" t="s">
        <v>182</v>
      </c>
      <c r="Q11" s="143">
        <v>2</v>
      </c>
      <c r="R11" s="143">
        <v>2</v>
      </c>
      <c r="S11" s="143">
        <v>1</v>
      </c>
      <c r="T11" s="143">
        <v>1</v>
      </c>
      <c r="U11" s="143">
        <v>6</v>
      </c>
    </row>
    <row r="12" spans="1:22" x14ac:dyDescent="0.35">
      <c r="A12" s="357"/>
      <c r="B12" s="139" t="s">
        <v>371</v>
      </c>
      <c r="C12" s="138">
        <v>20</v>
      </c>
      <c r="D12" s="138">
        <v>3</v>
      </c>
      <c r="E12" s="138">
        <v>1</v>
      </c>
      <c r="F12" s="138">
        <v>6</v>
      </c>
      <c r="G12" s="138" t="s">
        <v>452</v>
      </c>
      <c r="I12" s="139" t="s">
        <v>371</v>
      </c>
      <c r="J12" s="142" t="s">
        <v>452</v>
      </c>
      <c r="K12" s="142" t="s">
        <v>452</v>
      </c>
      <c r="L12" s="142" t="s">
        <v>452</v>
      </c>
      <c r="M12" s="142" t="s">
        <v>452</v>
      </c>
      <c r="N12" s="142" t="s">
        <v>452</v>
      </c>
      <c r="P12" s="139" t="s">
        <v>371</v>
      </c>
      <c r="Q12" s="143" t="s">
        <v>452</v>
      </c>
      <c r="R12" s="143" t="s">
        <v>452</v>
      </c>
      <c r="S12" s="143" t="s">
        <v>452</v>
      </c>
      <c r="T12" s="143" t="s">
        <v>452</v>
      </c>
      <c r="U12" s="143" t="s">
        <v>452</v>
      </c>
    </row>
    <row r="13" spans="1:22" x14ac:dyDescent="0.35">
      <c r="A13" s="358"/>
      <c r="B13" s="139" t="s">
        <v>181</v>
      </c>
      <c r="C13" s="138">
        <v>20</v>
      </c>
      <c r="D13" s="138">
        <v>3</v>
      </c>
      <c r="E13" s="138">
        <v>1</v>
      </c>
      <c r="F13" s="138">
        <v>6</v>
      </c>
      <c r="G13" s="138" t="s">
        <v>452</v>
      </c>
      <c r="I13" s="139" t="s">
        <v>181</v>
      </c>
      <c r="J13" s="142">
        <v>2</v>
      </c>
      <c r="K13" s="142">
        <v>3</v>
      </c>
      <c r="L13" s="142">
        <v>1</v>
      </c>
      <c r="M13" s="142">
        <v>4</v>
      </c>
      <c r="N13" s="142">
        <v>3</v>
      </c>
      <c r="P13" s="139" t="s">
        <v>181</v>
      </c>
      <c r="Q13" s="143">
        <v>2</v>
      </c>
      <c r="R13" s="143">
        <v>2</v>
      </c>
      <c r="S13" s="143">
        <v>1</v>
      </c>
      <c r="T13" s="143">
        <v>1</v>
      </c>
      <c r="U13" s="143">
        <v>6</v>
      </c>
    </row>
    <row r="14" spans="1:22" x14ac:dyDescent="0.35">
      <c r="B14" s="139" t="s">
        <v>86</v>
      </c>
      <c r="C14" s="138">
        <v>20</v>
      </c>
      <c r="D14" s="138">
        <v>3</v>
      </c>
      <c r="E14" s="138">
        <v>1</v>
      </c>
      <c r="F14" s="138">
        <v>6</v>
      </c>
      <c r="G14" s="138" t="s">
        <v>452</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372</v>
      </c>
      <c r="C15" s="138">
        <v>10</v>
      </c>
      <c r="D15" s="138">
        <v>1</v>
      </c>
      <c r="E15" s="138">
        <v>1</v>
      </c>
      <c r="F15" s="138">
        <v>3</v>
      </c>
      <c r="G15" s="138" t="s">
        <v>452</v>
      </c>
      <c r="I15" s="139" t="s">
        <v>372</v>
      </c>
      <c r="J15" s="142">
        <v>2</v>
      </c>
      <c r="K15" s="142">
        <v>1</v>
      </c>
      <c r="L15" s="142">
        <v>4</v>
      </c>
      <c r="M15" s="142">
        <v>1</v>
      </c>
      <c r="N15" s="142">
        <v>2</v>
      </c>
      <c r="P15" s="139" t="s">
        <v>372</v>
      </c>
      <c r="Q15" s="143">
        <v>2</v>
      </c>
      <c r="R15" s="143">
        <v>1</v>
      </c>
      <c r="S15" s="143">
        <v>1</v>
      </c>
      <c r="T15" s="143">
        <v>2</v>
      </c>
      <c r="U15" s="143">
        <v>6</v>
      </c>
    </row>
    <row r="16" spans="1:22" x14ac:dyDescent="0.35">
      <c r="B16" s="139" t="s">
        <v>88</v>
      </c>
      <c r="C16" s="138">
        <v>4</v>
      </c>
      <c r="D16" s="138">
        <v>1</v>
      </c>
      <c r="E16" s="138">
        <v>1</v>
      </c>
      <c r="F16" s="138">
        <v>4</v>
      </c>
      <c r="G16" s="138" t="s">
        <v>452</v>
      </c>
      <c r="I16" s="139" t="s">
        <v>88</v>
      </c>
      <c r="J16" s="142">
        <v>2</v>
      </c>
      <c r="K16" s="142">
        <v>1</v>
      </c>
      <c r="L16" s="142">
        <v>2</v>
      </c>
      <c r="M16" s="142">
        <v>1</v>
      </c>
      <c r="N16" s="142">
        <v>2</v>
      </c>
      <c r="P16" s="139" t="s">
        <v>88</v>
      </c>
      <c r="Q16" s="143">
        <v>2</v>
      </c>
      <c r="R16" s="143">
        <v>1</v>
      </c>
      <c r="S16" s="143">
        <v>1</v>
      </c>
      <c r="T16" s="143">
        <v>2</v>
      </c>
      <c r="U16" s="143">
        <v>6</v>
      </c>
    </row>
    <row r="17" spans="1:21" x14ac:dyDescent="0.35">
      <c r="A17" s="359"/>
      <c r="B17" s="139" t="s">
        <v>423</v>
      </c>
      <c r="C17" s="138">
        <v>4</v>
      </c>
      <c r="D17" s="138">
        <v>1</v>
      </c>
      <c r="E17" s="138">
        <v>1</v>
      </c>
      <c r="F17" s="138">
        <v>4</v>
      </c>
      <c r="G17" s="138" t="s">
        <v>452</v>
      </c>
      <c r="I17" s="139" t="s">
        <v>423</v>
      </c>
      <c r="J17" s="142">
        <v>2</v>
      </c>
      <c r="K17" s="142">
        <v>1</v>
      </c>
      <c r="L17" s="142">
        <v>2</v>
      </c>
      <c r="M17" s="142">
        <v>1</v>
      </c>
      <c r="N17" s="142">
        <v>2</v>
      </c>
      <c r="P17" s="139" t="s">
        <v>423</v>
      </c>
      <c r="Q17" s="143">
        <v>2</v>
      </c>
      <c r="R17" s="143">
        <v>1</v>
      </c>
      <c r="S17" s="143">
        <v>1</v>
      </c>
      <c r="T17" s="143">
        <v>1</v>
      </c>
      <c r="U17" s="143">
        <v>2</v>
      </c>
    </row>
    <row r="18" spans="1:21" x14ac:dyDescent="0.35">
      <c r="Q18"/>
    </row>
    <row r="19" spans="1:21" x14ac:dyDescent="0.35">
      <c r="Q19"/>
    </row>
    <row r="20" spans="1:21" ht="63.5" x14ac:dyDescent="0.35">
      <c r="A20" s="354" t="s">
        <v>395</v>
      </c>
      <c r="B20" s="141" t="s">
        <v>396</v>
      </c>
      <c r="C20" s="141" t="s">
        <v>414</v>
      </c>
      <c r="D20" s="141" t="s">
        <v>82</v>
      </c>
      <c r="E20" s="141" t="s">
        <v>83</v>
      </c>
      <c r="F20" s="141" t="s">
        <v>84</v>
      </c>
      <c r="G20" s="355" t="s">
        <v>92</v>
      </c>
      <c r="I20" s="356" t="s">
        <v>397</v>
      </c>
      <c r="J20" s="141" t="s">
        <v>414</v>
      </c>
      <c r="K20" s="141" t="s">
        <v>82</v>
      </c>
      <c r="L20" s="141" t="s">
        <v>83</v>
      </c>
      <c r="M20" s="141" t="s">
        <v>84</v>
      </c>
      <c r="N20" s="355" t="s">
        <v>92</v>
      </c>
      <c r="P20" s="356" t="s">
        <v>398</v>
      </c>
      <c r="Q20" s="141" t="s">
        <v>414</v>
      </c>
      <c r="R20" s="141" t="s">
        <v>82</v>
      </c>
      <c r="S20" s="141" t="s">
        <v>83</v>
      </c>
      <c r="T20" s="141" t="s">
        <v>84</v>
      </c>
      <c r="U20" s="355" t="s">
        <v>92</v>
      </c>
    </row>
    <row r="21" spans="1:21" x14ac:dyDescent="0.35">
      <c r="A21" s="357"/>
      <c r="B21" s="139" t="s">
        <v>77</v>
      </c>
      <c r="C21" s="138">
        <v>30</v>
      </c>
      <c r="D21" s="138">
        <v>3</v>
      </c>
      <c r="E21" s="138">
        <v>2</v>
      </c>
      <c r="F21" s="138">
        <v>10</v>
      </c>
      <c r="G21" s="138" t="s">
        <v>452</v>
      </c>
      <c r="H21" s="360"/>
      <c r="I21" s="139" t="s">
        <v>77</v>
      </c>
      <c r="J21" s="142">
        <v>2</v>
      </c>
      <c r="K21" s="142">
        <v>6</v>
      </c>
      <c r="L21" s="142" t="s">
        <v>452</v>
      </c>
      <c r="M21" s="142">
        <v>3</v>
      </c>
      <c r="N21" s="142">
        <v>8</v>
      </c>
      <c r="P21" s="139" t="s">
        <v>77</v>
      </c>
      <c r="Q21" s="143">
        <v>1</v>
      </c>
      <c r="R21" s="143">
        <v>6</v>
      </c>
      <c r="S21" s="143" t="s">
        <v>452</v>
      </c>
      <c r="T21" s="143">
        <v>6</v>
      </c>
      <c r="U21" s="143">
        <v>12</v>
      </c>
    </row>
    <row r="22" spans="1:21" x14ac:dyDescent="0.35">
      <c r="A22" s="357"/>
      <c r="B22" s="139" t="s">
        <v>389</v>
      </c>
      <c r="C22" s="138">
        <v>30</v>
      </c>
      <c r="D22" s="138">
        <v>3</v>
      </c>
      <c r="E22" s="138">
        <v>2</v>
      </c>
      <c r="F22" s="138">
        <v>10</v>
      </c>
      <c r="G22" s="138" t="s">
        <v>452</v>
      </c>
      <c r="H22" s="360"/>
      <c r="I22" s="139" t="s">
        <v>389</v>
      </c>
      <c r="J22" s="142">
        <v>2</v>
      </c>
      <c r="K22" s="142">
        <v>6</v>
      </c>
      <c r="L22" s="142" t="s">
        <v>452</v>
      </c>
      <c r="M22" s="142">
        <v>2</v>
      </c>
      <c r="N22" s="142">
        <v>8</v>
      </c>
      <c r="P22" s="139" t="s">
        <v>389</v>
      </c>
      <c r="Q22" s="143">
        <v>1</v>
      </c>
      <c r="R22" s="143">
        <v>6</v>
      </c>
      <c r="S22" s="143" t="s">
        <v>452</v>
      </c>
      <c r="T22" s="143">
        <v>6</v>
      </c>
      <c r="U22" s="143">
        <v>12</v>
      </c>
    </row>
    <row r="23" spans="1:21" x14ac:dyDescent="0.35">
      <c r="A23" s="357"/>
      <c r="B23" s="139" t="s">
        <v>184</v>
      </c>
      <c r="C23" s="138">
        <v>20</v>
      </c>
      <c r="D23" s="138">
        <v>2</v>
      </c>
      <c r="E23" s="138">
        <v>1</v>
      </c>
      <c r="F23" s="138">
        <v>6</v>
      </c>
      <c r="G23" s="138" t="s">
        <v>452</v>
      </c>
      <c r="H23" s="360"/>
      <c r="I23" s="139" t="s">
        <v>184</v>
      </c>
      <c r="J23" s="142">
        <v>1</v>
      </c>
      <c r="K23" s="142">
        <v>4</v>
      </c>
      <c r="L23" s="142" t="s">
        <v>452</v>
      </c>
      <c r="M23" s="142">
        <v>2</v>
      </c>
      <c r="N23" s="142">
        <v>4</v>
      </c>
      <c r="P23" s="139" t="s">
        <v>184</v>
      </c>
      <c r="Q23" s="143">
        <v>1</v>
      </c>
      <c r="R23" s="143">
        <v>4</v>
      </c>
      <c r="S23" s="143" t="s">
        <v>452</v>
      </c>
      <c r="T23" s="143">
        <v>2</v>
      </c>
      <c r="U23" s="143">
        <v>8</v>
      </c>
    </row>
    <row r="24" spans="1:21" x14ac:dyDescent="0.35">
      <c r="A24" s="357"/>
      <c r="B24" s="139" t="s">
        <v>183</v>
      </c>
      <c r="C24" s="138">
        <v>20</v>
      </c>
      <c r="D24" s="138">
        <v>2</v>
      </c>
      <c r="E24" s="138">
        <v>1</v>
      </c>
      <c r="F24" s="138">
        <v>6</v>
      </c>
      <c r="G24" s="138" t="s">
        <v>452</v>
      </c>
      <c r="H24" s="360"/>
      <c r="I24" s="139" t="s">
        <v>183</v>
      </c>
      <c r="J24" s="142">
        <v>1</v>
      </c>
      <c r="K24" s="142">
        <v>3</v>
      </c>
      <c r="L24" s="142" t="s">
        <v>452</v>
      </c>
      <c r="M24" s="142">
        <v>2</v>
      </c>
      <c r="N24" s="142">
        <v>4</v>
      </c>
      <c r="P24" s="139" t="s">
        <v>183</v>
      </c>
      <c r="Q24" s="143">
        <v>1</v>
      </c>
      <c r="R24" s="143">
        <v>4</v>
      </c>
      <c r="S24" s="143" t="s">
        <v>452</v>
      </c>
      <c r="T24" s="143">
        <v>2</v>
      </c>
      <c r="U24" s="143">
        <v>8</v>
      </c>
    </row>
    <row r="25" spans="1:21" x14ac:dyDescent="0.35">
      <c r="A25" s="357"/>
      <c r="B25" s="139" t="s">
        <v>94</v>
      </c>
      <c r="C25" s="138">
        <v>16</v>
      </c>
      <c r="D25" s="138">
        <v>2</v>
      </c>
      <c r="E25" s="138" t="s">
        <v>452</v>
      </c>
      <c r="F25" s="138">
        <v>5</v>
      </c>
      <c r="G25" s="138" t="s">
        <v>452</v>
      </c>
      <c r="H25" s="360"/>
      <c r="I25" s="139" t="s">
        <v>94</v>
      </c>
      <c r="J25" s="142">
        <v>1</v>
      </c>
      <c r="K25" s="142">
        <v>3</v>
      </c>
      <c r="L25" s="142" t="s">
        <v>452</v>
      </c>
      <c r="M25" s="142">
        <v>2</v>
      </c>
      <c r="N25" s="142">
        <v>2</v>
      </c>
      <c r="P25" s="139" t="s">
        <v>94</v>
      </c>
      <c r="Q25" s="143">
        <v>1</v>
      </c>
      <c r="R25" s="143">
        <v>3</v>
      </c>
      <c r="S25" s="143" t="s">
        <v>452</v>
      </c>
      <c r="T25" s="143">
        <v>2</v>
      </c>
      <c r="U25" s="143">
        <v>2</v>
      </c>
    </row>
    <row r="26" spans="1:21" x14ac:dyDescent="0.35">
      <c r="A26" s="357"/>
      <c r="B26" s="139" t="s">
        <v>385</v>
      </c>
      <c r="C26" s="138">
        <v>16</v>
      </c>
      <c r="D26" s="138">
        <v>2</v>
      </c>
      <c r="E26" s="138" t="s">
        <v>452</v>
      </c>
      <c r="F26" s="138">
        <v>5</v>
      </c>
      <c r="G26" s="138" t="s">
        <v>452</v>
      </c>
      <c r="H26" s="360"/>
      <c r="I26" s="139" t="s">
        <v>385</v>
      </c>
      <c r="J26" s="142">
        <v>1</v>
      </c>
      <c r="K26" s="142">
        <v>2</v>
      </c>
      <c r="L26" s="142" t="s">
        <v>452</v>
      </c>
      <c r="M26" s="142">
        <v>2</v>
      </c>
      <c r="N26" s="142">
        <v>2</v>
      </c>
      <c r="P26" s="139" t="s">
        <v>385</v>
      </c>
      <c r="Q26" s="143">
        <v>1</v>
      </c>
      <c r="R26" s="143">
        <v>4</v>
      </c>
      <c r="S26" s="143" t="s">
        <v>452</v>
      </c>
      <c r="T26" s="143">
        <v>1</v>
      </c>
      <c r="U26" s="143">
        <v>4</v>
      </c>
    </row>
    <row r="27" spans="1:21" x14ac:dyDescent="0.35">
      <c r="A27" s="357"/>
      <c r="B27" s="139" t="s">
        <v>182</v>
      </c>
      <c r="C27" s="138">
        <v>16</v>
      </c>
      <c r="D27" s="138">
        <v>2</v>
      </c>
      <c r="E27" s="138" t="s">
        <v>452</v>
      </c>
      <c r="F27" s="138">
        <v>5</v>
      </c>
      <c r="G27" s="138" t="s">
        <v>452</v>
      </c>
      <c r="H27" s="360"/>
      <c r="I27" s="139" t="s">
        <v>182</v>
      </c>
      <c r="J27" s="142">
        <v>1</v>
      </c>
      <c r="K27" s="142">
        <v>2</v>
      </c>
      <c r="L27" s="142" t="s">
        <v>452</v>
      </c>
      <c r="M27" s="142">
        <v>2</v>
      </c>
      <c r="N27" s="142">
        <v>2</v>
      </c>
      <c r="P27" s="139" t="s">
        <v>182</v>
      </c>
      <c r="Q27" s="143">
        <v>1</v>
      </c>
      <c r="R27" s="143">
        <v>1</v>
      </c>
      <c r="S27" s="143" t="s">
        <v>452</v>
      </c>
      <c r="T27" s="143"/>
      <c r="U27" s="143">
        <v>4</v>
      </c>
    </row>
    <row r="28" spans="1:21" x14ac:dyDescent="0.35">
      <c r="A28" s="357"/>
      <c r="B28" s="139" t="s">
        <v>371</v>
      </c>
      <c r="C28" s="138">
        <v>16</v>
      </c>
      <c r="D28" s="138">
        <v>2</v>
      </c>
      <c r="E28" s="138" t="s">
        <v>452</v>
      </c>
      <c r="F28" s="138">
        <v>5</v>
      </c>
      <c r="G28" s="138" t="s">
        <v>452</v>
      </c>
      <c r="H28" s="360"/>
      <c r="I28" s="139" t="s">
        <v>371</v>
      </c>
      <c r="J28" s="142" t="s">
        <v>452</v>
      </c>
      <c r="K28" s="142" t="s">
        <v>452</v>
      </c>
      <c r="L28" s="142" t="s">
        <v>452</v>
      </c>
      <c r="M28" s="142" t="s">
        <v>452</v>
      </c>
      <c r="N28" s="142" t="s">
        <v>452</v>
      </c>
      <c r="P28" s="139" t="s">
        <v>371</v>
      </c>
      <c r="Q28" s="143" t="s">
        <v>452</v>
      </c>
      <c r="R28" s="143" t="s">
        <v>452</v>
      </c>
      <c r="S28" s="143" t="s">
        <v>452</v>
      </c>
      <c r="T28" s="143" t="s">
        <v>452</v>
      </c>
      <c r="U28" s="143" t="s">
        <v>452</v>
      </c>
    </row>
    <row r="29" spans="1:21" x14ac:dyDescent="0.35">
      <c r="A29" s="358"/>
      <c r="B29" s="139" t="s">
        <v>181</v>
      </c>
      <c r="C29" s="138">
        <v>16</v>
      </c>
      <c r="D29" s="138">
        <v>2</v>
      </c>
      <c r="E29" s="138" t="s">
        <v>452</v>
      </c>
      <c r="F29" s="138">
        <v>5</v>
      </c>
      <c r="G29" s="138" t="s">
        <v>452</v>
      </c>
      <c r="H29" s="360"/>
      <c r="I29" s="139" t="s">
        <v>181</v>
      </c>
      <c r="J29" s="142">
        <v>1</v>
      </c>
      <c r="K29" s="142">
        <v>2</v>
      </c>
      <c r="L29" s="142" t="s">
        <v>452</v>
      </c>
      <c r="M29" s="142">
        <v>2</v>
      </c>
      <c r="N29" s="142">
        <v>2</v>
      </c>
      <c r="P29" s="139" t="s">
        <v>181</v>
      </c>
      <c r="Q29" s="143">
        <v>1</v>
      </c>
      <c r="R29" s="143" t="s">
        <v>452</v>
      </c>
      <c r="S29" s="143" t="s">
        <v>452</v>
      </c>
      <c r="T29" s="143" t="s">
        <v>452</v>
      </c>
      <c r="U29" s="143">
        <v>4</v>
      </c>
    </row>
    <row r="30" spans="1:21" x14ac:dyDescent="0.35">
      <c r="B30" s="139" t="s">
        <v>86</v>
      </c>
      <c r="C30" s="138">
        <v>16</v>
      </c>
      <c r="D30" s="138">
        <v>2</v>
      </c>
      <c r="E30" s="138" t="s">
        <v>452</v>
      </c>
      <c r="F30" s="138">
        <v>5</v>
      </c>
      <c r="G30" s="138" t="s">
        <v>452</v>
      </c>
      <c r="I30" s="139" t="s">
        <v>86</v>
      </c>
      <c r="J30" s="142">
        <v>1</v>
      </c>
      <c r="K30" s="142">
        <v>2</v>
      </c>
      <c r="L30" s="142" t="s">
        <v>452</v>
      </c>
      <c r="M30" s="142">
        <v>1</v>
      </c>
      <c r="N30" s="142">
        <v>1</v>
      </c>
      <c r="P30" s="139" t="s">
        <v>86</v>
      </c>
      <c r="Q30" s="143">
        <v>1</v>
      </c>
      <c r="R30" s="143" t="s">
        <v>452</v>
      </c>
      <c r="S30" s="143" t="s">
        <v>452</v>
      </c>
      <c r="T30" s="143">
        <v>1</v>
      </c>
      <c r="U30" s="143">
        <v>4</v>
      </c>
    </row>
    <row r="31" spans="1:21" x14ac:dyDescent="0.35">
      <c r="B31" s="139" t="s">
        <v>372</v>
      </c>
      <c r="C31" s="138">
        <v>6</v>
      </c>
      <c r="D31" s="138" t="s">
        <v>452</v>
      </c>
      <c r="E31" s="138" t="s">
        <v>452</v>
      </c>
      <c r="F31" s="138">
        <v>2</v>
      </c>
      <c r="G31" s="138" t="s">
        <v>452</v>
      </c>
      <c r="I31" s="139" t="s">
        <v>372</v>
      </c>
      <c r="J31" s="142">
        <v>1</v>
      </c>
      <c r="K31" s="142" t="s">
        <v>452</v>
      </c>
      <c r="L31" s="142">
        <v>2</v>
      </c>
      <c r="M31" s="142">
        <v>0</v>
      </c>
      <c r="N31" s="142">
        <v>1</v>
      </c>
      <c r="P31" s="139" t="s">
        <v>372</v>
      </c>
      <c r="Q31" s="143">
        <v>1</v>
      </c>
      <c r="R31" s="143" t="s">
        <v>452</v>
      </c>
      <c r="S31" s="143" t="s">
        <v>452</v>
      </c>
      <c r="T31" s="143">
        <v>1</v>
      </c>
      <c r="U31" s="143">
        <v>4</v>
      </c>
    </row>
    <row r="32" spans="1:21" x14ac:dyDescent="0.35">
      <c r="B32" s="139" t="s">
        <v>88</v>
      </c>
      <c r="C32" s="138">
        <v>2</v>
      </c>
      <c r="D32" s="138" t="s">
        <v>452</v>
      </c>
      <c r="E32" s="138" t="s">
        <v>452</v>
      </c>
      <c r="F32" s="138">
        <v>2</v>
      </c>
      <c r="G32" s="138" t="s">
        <v>452</v>
      </c>
      <c r="I32" s="139" t="s">
        <v>88</v>
      </c>
      <c r="J32" s="142">
        <v>1</v>
      </c>
      <c r="K32" s="142" t="s">
        <v>452</v>
      </c>
      <c r="L32" s="142">
        <v>1</v>
      </c>
      <c r="M32" s="142">
        <v>0</v>
      </c>
      <c r="N32" s="142">
        <v>1</v>
      </c>
      <c r="P32" s="139" t="s">
        <v>88</v>
      </c>
      <c r="Q32" s="143">
        <v>1</v>
      </c>
      <c r="R32" s="143" t="s">
        <v>452</v>
      </c>
      <c r="S32" s="143" t="s">
        <v>452</v>
      </c>
      <c r="T32" s="143">
        <v>1</v>
      </c>
      <c r="U32" s="143">
        <v>4</v>
      </c>
    </row>
    <row r="33" spans="1:21" x14ac:dyDescent="0.35">
      <c r="A33" s="359"/>
      <c r="B33" s="139" t="s">
        <v>423</v>
      </c>
      <c r="C33" s="138">
        <v>3</v>
      </c>
      <c r="D33" s="138" t="s">
        <v>452</v>
      </c>
      <c r="E33" s="138" t="s">
        <v>452</v>
      </c>
      <c r="F33" s="138">
        <v>2</v>
      </c>
      <c r="G33" s="138" t="s">
        <v>452</v>
      </c>
      <c r="I33" s="139" t="s">
        <v>423</v>
      </c>
      <c r="J33" s="142">
        <v>1</v>
      </c>
      <c r="K33" s="142" t="s">
        <v>452</v>
      </c>
      <c r="L33" s="142">
        <v>1</v>
      </c>
      <c r="M33" s="142">
        <v>0</v>
      </c>
      <c r="N33" s="142">
        <v>1</v>
      </c>
      <c r="P33" s="139" t="s">
        <v>423</v>
      </c>
      <c r="Q33" s="143">
        <v>1</v>
      </c>
      <c r="R33" s="143" t="s">
        <v>452</v>
      </c>
      <c r="S33" s="143" t="s">
        <v>452</v>
      </c>
      <c r="T33" s="143" t="s">
        <v>452</v>
      </c>
      <c r="U33" s="143">
        <v>1</v>
      </c>
    </row>
    <row r="34" spans="1:21" x14ac:dyDescent="0.35">
      <c r="Q34"/>
    </row>
    <row r="35" spans="1:21" x14ac:dyDescent="0.35">
      <c r="Q35"/>
    </row>
    <row r="36" spans="1:21" ht="63.5" x14ac:dyDescent="0.35">
      <c r="A36" s="354" t="s">
        <v>399</v>
      </c>
      <c r="B36" s="141" t="s">
        <v>400</v>
      </c>
      <c r="C36" s="141" t="s">
        <v>414</v>
      </c>
      <c r="D36" s="141" t="s">
        <v>82</v>
      </c>
      <c r="E36" s="141" t="s">
        <v>83</v>
      </c>
      <c r="F36" s="141" t="s">
        <v>84</v>
      </c>
      <c r="G36" s="355" t="s">
        <v>92</v>
      </c>
      <c r="I36" s="356" t="s">
        <v>401</v>
      </c>
      <c r="J36" s="141" t="s">
        <v>414</v>
      </c>
      <c r="K36" s="141" t="s">
        <v>82</v>
      </c>
      <c r="L36" s="141" t="s">
        <v>83</v>
      </c>
      <c r="M36" s="141" t="s">
        <v>84</v>
      </c>
      <c r="N36" s="355" t="s">
        <v>92</v>
      </c>
      <c r="P36" s="356" t="s">
        <v>402</v>
      </c>
      <c r="Q36" s="141" t="s">
        <v>414</v>
      </c>
      <c r="R36" s="141" t="s">
        <v>82</v>
      </c>
      <c r="S36" s="141" t="s">
        <v>83</v>
      </c>
      <c r="T36" s="141" t="s">
        <v>84</v>
      </c>
      <c r="U36" s="355" t="s">
        <v>92</v>
      </c>
    </row>
    <row r="37" spans="1:21" x14ac:dyDescent="0.35">
      <c r="A37" s="357"/>
      <c r="B37" s="139" t="s">
        <v>77</v>
      </c>
      <c r="C37" s="138">
        <v>20</v>
      </c>
      <c r="D37" s="138">
        <v>2</v>
      </c>
      <c r="E37" s="138">
        <v>1</v>
      </c>
      <c r="F37" s="138">
        <v>6</v>
      </c>
      <c r="G37" s="138" t="s">
        <v>452</v>
      </c>
      <c r="I37" s="139" t="s">
        <v>77</v>
      </c>
      <c r="J37" s="142" t="s">
        <v>452</v>
      </c>
      <c r="K37" s="142">
        <v>4</v>
      </c>
      <c r="L37" s="142" t="s">
        <v>452</v>
      </c>
      <c r="M37" s="142">
        <v>2</v>
      </c>
      <c r="N37" s="142">
        <v>4</v>
      </c>
      <c r="P37" s="139" t="s">
        <v>77</v>
      </c>
      <c r="Q37" s="143" t="s">
        <v>452</v>
      </c>
      <c r="R37" s="143">
        <v>3</v>
      </c>
      <c r="S37" s="143" t="s">
        <v>452</v>
      </c>
      <c r="T37" s="143">
        <v>3</v>
      </c>
      <c r="U37" s="143">
        <v>8</v>
      </c>
    </row>
    <row r="38" spans="1:21" x14ac:dyDescent="0.35">
      <c r="A38" s="357"/>
      <c r="B38" s="139" t="s">
        <v>389</v>
      </c>
      <c r="C38" s="138">
        <v>20</v>
      </c>
      <c r="D38" s="138">
        <v>2</v>
      </c>
      <c r="E38" s="138">
        <v>1</v>
      </c>
      <c r="F38" s="138">
        <v>6</v>
      </c>
      <c r="G38" s="138" t="s">
        <v>452</v>
      </c>
      <c r="I38" s="139" t="s">
        <v>389</v>
      </c>
      <c r="J38" s="142" t="s">
        <v>452</v>
      </c>
      <c r="K38" s="142">
        <v>4</v>
      </c>
      <c r="L38" s="142" t="s">
        <v>452</v>
      </c>
      <c r="M38" s="142">
        <v>1</v>
      </c>
      <c r="N38" s="142">
        <v>4</v>
      </c>
      <c r="P38" s="139" t="s">
        <v>389</v>
      </c>
      <c r="Q38" s="143" t="s">
        <v>452</v>
      </c>
      <c r="R38" s="143">
        <v>3</v>
      </c>
      <c r="S38" s="143" t="s">
        <v>452</v>
      </c>
      <c r="T38" s="143">
        <v>3</v>
      </c>
      <c r="U38" s="143">
        <v>8</v>
      </c>
    </row>
    <row r="39" spans="1:21" x14ac:dyDescent="0.35">
      <c r="A39" s="357"/>
      <c r="B39" s="139" t="s">
        <v>184</v>
      </c>
      <c r="C39" s="138">
        <v>16</v>
      </c>
      <c r="D39" s="138">
        <v>1</v>
      </c>
      <c r="E39" s="138" t="s">
        <v>452</v>
      </c>
      <c r="F39" s="138">
        <v>5</v>
      </c>
      <c r="G39" s="138" t="s">
        <v>452</v>
      </c>
      <c r="I39" s="139" t="s">
        <v>184</v>
      </c>
      <c r="J39" s="142" t="s">
        <v>452</v>
      </c>
      <c r="K39" s="142">
        <v>2</v>
      </c>
      <c r="L39" s="142" t="s">
        <v>452</v>
      </c>
      <c r="M39" s="142">
        <v>1</v>
      </c>
      <c r="N39" s="142">
        <v>3</v>
      </c>
      <c r="P39" s="139" t="s">
        <v>184</v>
      </c>
      <c r="Q39" s="143" t="s">
        <v>452</v>
      </c>
      <c r="R39" s="143">
        <v>2</v>
      </c>
      <c r="S39" s="143" t="s">
        <v>452</v>
      </c>
      <c r="T39" s="143">
        <v>1</v>
      </c>
      <c r="U39" s="143">
        <v>6</v>
      </c>
    </row>
    <row r="40" spans="1:21" x14ac:dyDescent="0.35">
      <c r="A40" s="357"/>
      <c r="B40" s="139" t="s">
        <v>183</v>
      </c>
      <c r="C40" s="138">
        <v>16</v>
      </c>
      <c r="D40" s="138">
        <v>1</v>
      </c>
      <c r="E40" s="138" t="s">
        <v>452</v>
      </c>
      <c r="F40" s="138">
        <v>5</v>
      </c>
      <c r="G40" s="138" t="s">
        <v>452</v>
      </c>
      <c r="I40" s="139" t="s">
        <v>183</v>
      </c>
      <c r="J40" s="142" t="s">
        <v>452</v>
      </c>
      <c r="K40" s="142">
        <v>2</v>
      </c>
      <c r="L40" s="142" t="s">
        <v>452</v>
      </c>
      <c r="M40" s="142">
        <v>1</v>
      </c>
      <c r="N40" s="142">
        <v>1</v>
      </c>
      <c r="P40" s="139" t="s">
        <v>183</v>
      </c>
      <c r="Q40" s="143" t="s">
        <v>452</v>
      </c>
      <c r="R40" s="143">
        <v>2</v>
      </c>
      <c r="S40" s="143" t="s">
        <v>452</v>
      </c>
      <c r="T40" s="143">
        <v>1</v>
      </c>
      <c r="U40" s="143">
        <v>6</v>
      </c>
    </row>
    <row r="41" spans="1:21" x14ac:dyDescent="0.35">
      <c r="A41" s="357"/>
      <c r="B41" s="139" t="s">
        <v>94</v>
      </c>
      <c r="C41" s="138">
        <v>12</v>
      </c>
      <c r="D41" s="138">
        <v>1</v>
      </c>
      <c r="E41" s="138" t="s">
        <v>452</v>
      </c>
      <c r="F41" s="138">
        <v>4</v>
      </c>
      <c r="G41" s="138" t="s">
        <v>452</v>
      </c>
      <c r="I41" s="139" t="s">
        <v>94</v>
      </c>
      <c r="J41" s="142" t="s">
        <v>452</v>
      </c>
      <c r="K41" s="142">
        <v>1</v>
      </c>
      <c r="L41" s="142" t="s">
        <v>452</v>
      </c>
      <c r="M41" s="142">
        <v>1</v>
      </c>
      <c r="N41" s="142">
        <v>1</v>
      </c>
      <c r="P41" s="139" t="s">
        <v>94</v>
      </c>
      <c r="Q41" s="143" t="s">
        <v>452</v>
      </c>
      <c r="R41" s="143">
        <v>2</v>
      </c>
      <c r="S41" s="143" t="s">
        <v>452</v>
      </c>
      <c r="T41" s="143">
        <v>1</v>
      </c>
      <c r="U41" s="143">
        <v>1</v>
      </c>
    </row>
    <row r="42" spans="1:21" x14ac:dyDescent="0.35">
      <c r="A42" s="357"/>
      <c r="B42" s="139" t="s">
        <v>385</v>
      </c>
      <c r="C42" s="138">
        <v>12</v>
      </c>
      <c r="D42" s="138">
        <v>1</v>
      </c>
      <c r="E42" s="138" t="s">
        <v>452</v>
      </c>
      <c r="F42" s="138">
        <v>4</v>
      </c>
      <c r="G42" s="138" t="s">
        <v>452</v>
      </c>
      <c r="I42" s="139" t="s">
        <v>385</v>
      </c>
      <c r="J42" s="142" t="s">
        <v>452</v>
      </c>
      <c r="K42" s="142">
        <v>1</v>
      </c>
      <c r="L42" s="142" t="s">
        <v>452</v>
      </c>
      <c r="M42" s="142">
        <v>1</v>
      </c>
      <c r="N42" s="142">
        <v>1</v>
      </c>
      <c r="P42" s="139" t="s">
        <v>385</v>
      </c>
      <c r="Q42" s="143" t="s">
        <v>452</v>
      </c>
      <c r="R42" s="143">
        <v>2</v>
      </c>
      <c r="S42" s="143" t="s">
        <v>452</v>
      </c>
      <c r="T42" s="143" t="s">
        <v>452</v>
      </c>
      <c r="U42" s="143">
        <v>2</v>
      </c>
    </row>
    <row r="43" spans="1:21" x14ac:dyDescent="0.35">
      <c r="A43" s="357"/>
      <c r="B43" s="139" t="s">
        <v>182</v>
      </c>
      <c r="C43" s="138">
        <v>12</v>
      </c>
      <c r="D43" s="138">
        <v>1</v>
      </c>
      <c r="E43" s="138" t="s">
        <v>452</v>
      </c>
      <c r="F43" s="138">
        <v>4</v>
      </c>
      <c r="G43" s="138" t="s">
        <v>452</v>
      </c>
      <c r="I43" s="139" t="s">
        <v>182</v>
      </c>
      <c r="J43" s="142" t="s">
        <v>452</v>
      </c>
      <c r="K43" s="142">
        <v>1</v>
      </c>
      <c r="L43" s="142" t="s">
        <v>452</v>
      </c>
      <c r="M43" s="142">
        <v>1</v>
      </c>
      <c r="N43" s="142">
        <v>1</v>
      </c>
      <c r="P43" s="139" t="s">
        <v>182</v>
      </c>
      <c r="Q43" s="143" t="s">
        <v>452</v>
      </c>
      <c r="R43" s="143" t="s">
        <v>452</v>
      </c>
      <c r="S43" s="143" t="s">
        <v>452</v>
      </c>
      <c r="T43" s="143" t="s">
        <v>452</v>
      </c>
      <c r="U43" s="143">
        <v>2</v>
      </c>
    </row>
    <row r="44" spans="1:21" x14ac:dyDescent="0.35">
      <c r="A44" s="357"/>
      <c r="B44" s="139" t="s">
        <v>371</v>
      </c>
      <c r="C44" s="138">
        <v>12</v>
      </c>
      <c r="D44" s="138">
        <v>1</v>
      </c>
      <c r="E44" s="138" t="s">
        <v>452</v>
      </c>
      <c r="F44" s="138">
        <v>4</v>
      </c>
      <c r="G44" s="138" t="s">
        <v>452</v>
      </c>
      <c r="I44" s="139" t="s">
        <v>371</v>
      </c>
      <c r="J44" s="142" t="s">
        <v>452</v>
      </c>
      <c r="K44" s="142" t="s">
        <v>452</v>
      </c>
      <c r="L44" s="142" t="s">
        <v>452</v>
      </c>
      <c r="M44" s="142" t="s">
        <v>452</v>
      </c>
      <c r="N44" s="142" t="s">
        <v>452</v>
      </c>
      <c r="P44" s="139" t="s">
        <v>371</v>
      </c>
      <c r="Q44" s="143" t="s">
        <v>452</v>
      </c>
      <c r="R44" s="143" t="s">
        <v>452</v>
      </c>
      <c r="S44" s="143" t="s">
        <v>452</v>
      </c>
      <c r="T44" s="143" t="s">
        <v>452</v>
      </c>
      <c r="U44" s="143" t="s">
        <v>452</v>
      </c>
    </row>
    <row r="45" spans="1:21" x14ac:dyDescent="0.35">
      <c r="A45" s="358"/>
      <c r="B45" s="139" t="s">
        <v>181</v>
      </c>
      <c r="C45" s="138">
        <v>12</v>
      </c>
      <c r="D45" s="138">
        <v>1</v>
      </c>
      <c r="E45" s="138" t="s">
        <v>452</v>
      </c>
      <c r="F45" s="138">
        <v>4</v>
      </c>
      <c r="G45" s="138" t="s">
        <v>452</v>
      </c>
      <c r="I45" s="139" t="s">
        <v>181</v>
      </c>
      <c r="J45" s="142" t="s">
        <v>452</v>
      </c>
      <c r="K45" s="142">
        <v>1</v>
      </c>
      <c r="L45" s="142" t="s">
        <v>452</v>
      </c>
      <c r="M45" s="142">
        <v>1</v>
      </c>
      <c r="N45" s="142">
        <v>1</v>
      </c>
      <c r="P45" s="139" t="s">
        <v>181</v>
      </c>
      <c r="Q45" s="143" t="s">
        <v>452</v>
      </c>
      <c r="R45" s="143" t="s">
        <v>452</v>
      </c>
      <c r="S45" s="143" t="s">
        <v>452</v>
      </c>
      <c r="T45" s="143" t="s">
        <v>452</v>
      </c>
      <c r="U45" s="143">
        <v>2</v>
      </c>
    </row>
    <row r="46" spans="1:21" x14ac:dyDescent="0.35">
      <c r="A46" s="358"/>
      <c r="B46" s="139" t="s">
        <v>86</v>
      </c>
      <c r="C46" s="138">
        <v>12</v>
      </c>
      <c r="D46" s="138">
        <v>1</v>
      </c>
      <c r="E46" s="138" t="s">
        <v>452</v>
      </c>
      <c r="F46" s="138">
        <v>2</v>
      </c>
      <c r="G46" s="138" t="s">
        <v>452</v>
      </c>
      <c r="I46" s="139" t="s">
        <v>86</v>
      </c>
      <c r="J46" s="142" t="s">
        <v>452</v>
      </c>
      <c r="K46" s="142">
        <v>1</v>
      </c>
      <c r="L46" s="142" t="s">
        <v>452</v>
      </c>
      <c r="M46" s="142" t="s">
        <v>452</v>
      </c>
      <c r="N46" s="142" t="s">
        <v>452</v>
      </c>
      <c r="P46" s="139" t="s">
        <v>86</v>
      </c>
      <c r="Q46" s="143" t="s">
        <v>452</v>
      </c>
      <c r="R46" s="143" t="s">
        <v>452</v>
      </c>
      <c r="S46" s="143" t="s">
        <v>452</v>
      </c>
      <c r="T46" s="143" t="s">
        <v>452</v>
      </c>
      <c r="U46" s="143">
        <v>2</v>
      </c>
    </row>
    <row r="47" spans="1:21" x14ac:dyDescent="0.35">
      <c r="B47" s="139" t="s">
        <v>372</v>
      </c>
      <c r="C47" s="138">
        <v>4</v>
      </c>
      <c r="D47" s="138" t="s">
        <v>452</v>
      </c>
      <c r="E47" s="138" t="s">
        <v>452</v>
      </c>
      <c r="F47" s="138">
        <v>1</v>
      </c>
      <c r="G47" s="138" t="s">
        <v>452</v>
      </c>
      <c r="I47" s="139" t="s">
        <v>372</v>
      </c>
      <c r="J47" s="142" t="s">
        <v>452</v>
      </c>
      <c r="K47" s="142" t="s">
        <v>452</v>
      </c>
      <c r="L47" s="142">
        <v>1</v>
      </c>
      <c r="M47" s="142" t="s">
        <v>452</v>
      </c>
      <c r="N47" s="142" t="s">
        <v>452</v>
      </c>
      <c r="P47" s="139" t="s">
        <v>372</v>
      </c>
      <c r="Q47" s="143" t="s">
        <v>452</v>
      </c>
      <c r="R47" s="143" t="s">
        <v>452</v>
      </c>
      <c r="S47" s="143" t="s">
        <v>452</v>
      </c>
      <c r="T47" s="143" t="s">
        <v>452</v>
      </c>
      <c r="U47" s="143">
        <v>2</v>
      </c>
    </row>
    <row r="48" spans="1:21" x14ac:dyDescent="0.35">
      <c r="B48" s="139" t="s">
        <v>88</v>
      </c>
      <c r="C48" s="138">
        <v>1</v>
      </c>
      <c r="D48" s="138" t="s">
        <v>452</v>
      </c>
      <c r="E48" s="138" t="s">
        <v>452</v>
      </c>
      <c r="F48" s="138">
        <v>1</v>
      </c>
      <c r="G48" s="138" t="s">
        <v>452</v>
      </c>
      <c r="I48" s="139" t="s">
        <v>88</v>
      </c>
      <c r="J48" s="142" t="s">
        <v>452</v>
      </c>
      <c r="K48" s="142" t="s">
        <v>452</v>
      </c>
      <c r="L48" s="142" t="s">
        <v>452</v>
      </c>
      <c r="M48" s="142" t="s">
        <v>452</v>
      </c>
      <c r="N48" s="142" t="s">
        <v>452</v>
      </c>
      <c r="P48" s="139" t="s">
        <v>88</v>
      </c>
      <c r="Q48" s="143" t="s">
        <v>452</v>
      </c>
      <c r="R48" s="143" t="s">
        <v>452</v>
      </c>
      <c r="S48" s="143" t="s">
        <v>452</v>
      </c>
      <c r="T48" s="143" t="s">
        <v>452</v>
      </c>
      <c r="U48" s="143">
        <v>2</v>
      </c>
    </row>
    <row r="49" spans="1:21" x14ac:dyDescent="0.35">
      <c r="A49" s="359"/>
      <c r="B49" s="139" t="s">
        <v>423</v>
      </c>
      <c r="C49" s="138">
        <v>2</v>
      </c>
      <c r="D49" s="138" t="s">
        <v>452</v>
      </c>
      <c r="E49" s="138" t="s">
        <v>452</v>
      </c>
      <c r="F49" s="138">
        <v>1</v>
      </c>
      <c r="G49" s="138" t="s">
        <v>452</v>
      </c>
      <c r="I49" s="139" t="s">
        <v>423</v>
      </c>
      <c r="J49" s="142" t="s">
        <v>452</v>
      </c>
      <c r="K49" s="142" t="s">
        <v>452</v>
      </c>
      <c r="L49" s="142" t="s">
        <v>452</v>
      </c>
      <c r="M49" s="142" t="s">
        <v>452</v>
      </c>
      <c r="N49" s="142" t="s">
        <v>452</v>
      </c>
      <c r="P49" s="139" t="s">
        <v>423</v>
      </c>
      <c r="Q49" s="143" t="s">
        <v>452</v>
      </c>
      <c r="R49" s="143" t="s">
        <v>452</v>
      </c>
      <c r="S49" s="143" t="s">
        <v>452</v>
      </c>
      <c r="T49" s="143" t="s">
        <v>452</v>
      </c>
      <c r="U49" s="143" t="s">
        <v>452</v>
      </c>
    </row>
    <row r="52" spans="1:21" x14ac:dyDescent="0.35">
      <c r="A52" s="376" t="s">
        <v>416</v>
      </c>
    </row>
    <row r="55" spans="1:21" ht="65.5" x14ac:dyDescent="0.35">
      <c r="C55" s="377" t="s">
        <v>417</v>
      </c>
      <c r="D55" s="377" t="s">
        <v>418</v>
      </c>
      <c r="E55" s="377" t="s">
        <v>419</v>
      </c>
      <c r="F55" s="377" t="s">
        <v>420</v>
      </c>
      <c r="G55" s="377" t="s">
        <v>421</v>
      </c>
      <c r="H55" s="377" t="s">
        <v>422</v>
      </c>
    </row>
    <row r="56" spans="1:21" x14ac:dyDescent="0.35">
      <c r="B56" s="139" t="s">
        <v>77</v>
      </c>
      <c r="C56" s="378">
        <v>225</v>
      </c>
      <c r="D56" s="378">
        <v>100</v>
      </c>
      <c r="E56" s="378">
        <v>25</v>
      </c>
      <c r="F56" s="378">
        <v>6230</v>
      </c>
      <c r="G56" s="378">
        <v>200</v>
      </c>
      <c r="H56" s="378">
        <v>6780</v>
      </c>
    </row>
    <row r="57" spans="1:21" x14ac:dyDescent="0.35">
      <c r="B57" s="139" t="s">
        <v>389</v>
      </c>
      <c r="C57" s="378">
        <v>225</v>
      </c>
      <c r="D57" s="378">
        <v>100</v>
      </c>
      <c r="E57" s="378">
        <v>25</v>
      </c>
      <c r="F57" s="378">
        <v>6230</v>
      </c>
      <c r="G57" s="378">
        <v>200</v>
      </c>
      <c r="H57" s="378">
        <v>6780</v>
      </c>
    </row>
    <row r="58" spans="1:21" x14ac:dyDescent="0.35">
      <c r="B58" s="139" t="s">
        <v>184</v>
      </c>
      <c r="C58" s="378">
        <v>150</v>
      </c>
      <c r="D58" s="378">
        <v>95</v>
      </c>
      <c r="E58" s="378">
        <v>25</v>
      </c>
      <c r="F58" s="378">
        <v>4288</v>
      </c>
      <c r="G58" s="378">
        <v>100</v>
      </c>
      <c r="H58" s="378">
        <v>4658</v>
      </c>
    </row>
    <row r="59" spans="1:21" x14ac:dyDescent="0.35">
      <c r="B59" s="139" t="s">
        <v>183</v>
      </c>
      <c r="C59" s="378">
        <v>150</v>
      </c>
      <c r="D59" s="378">
        <v>95</v>
      </c>
      <c r="E59" s="378">
        <v>25</v>
      </c>
      <c r="F59" s="378">
        <v>4288</v>
      </c>
      <c r="G59" s="378">
        <v>100</v>
      </c>
      <c r="H59" s="378">
        <v>4658</v>
      </c>
    </row>
    <row r="60" spans="1:21" x14ac:dyDescent="0.35">
      <c r="B60" s="139" t="s">
        <v>94</v>
      </c>
      <c r="C60" s="378">
        <v>100</v>
      </c>
      <c r="D60" s="378">
        <v>80</v>
      </c>
      <c r="E60" s="378">
        <v>20</v>
      </c>
      <c r="F60" s="378">
        <v>2171</v>
      </c>
      <c r="G60" s="378">
        <v>85</v>
      </c>
      <c r="H60" s="378">
        <v>2433</v>
      </c>
    </row>
    <row r="61" spans="1:21" x14ac:dyDescent="0.35">
      <c r="B61" s="139" t="s">
        <v>385</v>
      </c>
      <c r="C61" s="378">
        <v>100</v>
      </c>
      <c r="D61" s="378">
        <v>80</v>
      </c>
      <c r="E61" s="378">
        <v>20</v>
      </c>
      <c r="F61" s="378">
        <v>2148</v>
      </c>
      <c r="G61" s="378">
        <v>85</v>
      </c>
      <c r="H61" s="378">
        <v>2456</v>
      </c>
    </row>
    <row r="62" spans="1:21" x14ac:dyDescent="0.35">
      <c r="B62" s="139" t="s">
        <v>182</v>
      </c>
      <c r="C62" s="378">
        <v>100</v>
      </c>
      <c r="D62" s="378">
        <v>80</v>
      </c>
      <c r="E62" s="378">
        <v>20</v>
      </c>
      <c r="F62" s="378">
        <v>2131</v>
      </c>
      <c r="G62" s="378">
        <v>85</v>
      </c>
      <c r="H62" s="378">
        <v>2416</v>
      </c>
    </row>
    <row r="63" spans="1:21" x14ac:dyDescent="0.35">
      <c r="B63" s="139" t="s">
        <v>371</v>
      </c>
      <c r="C63" s="378">
        <v>150</v>
      </c>
      <c r="D63" s="378">
        <v>95</v>
      </c>
      <c r="E63" s="378">
        <v>25</v>
      </c>
      <c r="F63" s="378">
        <v>2160</v>
      </c>
      <c r="G63" s="378">
        <v>85</v>
      </c>
      <c r="H63" s="378">
        <v>2515</v>
      </c>
    </row>
    <row r="64" spans="1:21" x14ac:dyDescent="0.35">
      <c r="B64" s="139" t="s">
        <v>181</v>
      </c>
      <c r="C64" s="378">
        <v>100</v>
      </c>
      <c r="D64" s="378">
        <v>80</v>
      </c>
      <c r="E64" s="378">
        <v>20</v>
      </c>
      <c r="F64" s="378">
        <v>1370</v>
      </c>
      <c r="G64" s="378">
        <v>0</v>
      </c>
      <c r="H64" s="378">
        <v>1570</v>
      </c>
    </row>
    <row r="65" spans="2:10" x14ac:dyDescent="0.35">
      <c r="B65" s="139" t="s">
        <v>86</v>
      </c>
      <c r="C65" s="378">
        <v>60</v>
      </c>
      <c r="D65" s="378">
        <v>60</v>
      </c>
      <c r="E65" s="378">
        <v>15</v>
      </c>
      <c r="F65" s="378">
        <v>689</v>
      </c>
      <c r="G65" s="378">
        <v>0</v>
      </c>
      <c r="H65" s="378">
        <v>824</v>
      </c>
    </row>
    <row r="66" spans="2:10" x14ac:dyDescent="0.35">
      <c r="B66" s="139" t="s">
        <v>372</v>
      </c>
      <c r="C66" s="378">
        <v>24</v>
      </c>
      <c r="D66" s="378">
        <v>10</v>
      </c>
      <c r="E66" s="378">
        <v>10</v>
      </c>
      <c r="F66" s="378">
        <v>253</v>
      </c>
      <c r="G66" s="378">
        <v>0</v>
      </c>
      <c r="H66" s="378">
        <v>297</v>
      </c>
    </row>
    <row r="67" spans="2:10" x14ac:dyDescent="0.35">
      <c r="B67" s="139" t="s">
        <v>88</v>
      </c>
      <c r="C67" s="378">
        <v>24</v>
      </c>
      <c r="D67" s="378">
        <v>10</v>
      </c>
      <c r="E67" s="378">
        <v>10</v>
      </c>
      <c r="F67" s="378">
        <v>248</v>
      </c>
      <c r="G67" s="378">
        <v>0</v>
      </c>
      <c r="H67" s="378">
        <v>292</v>
      </c>
    </row>
    <row r="68" spans="2:10" x14ac:dyDescent="0.35">
      <c r="B68" s="139" t="s">
        <v>423</v>
      </c>
      <c r="C68" s="378">
        <v>24</v>
      </c>
      <c r="D68" s="378">
        <v>10</v>
      </c>
      <c r="E68" s="378">
        <v>10</v>
      </c>
      <c r="F68" s="378">
        <v>221</v>
      </c>
      <c r="G68" s="378">
        <v>0</v>
      </c>
      <c r="H68" s="378">
        <v>265</v>
      </c>
    </row>
    <row r="77" spans="2:10" x14ac:dyDescent="0.35">
      <c r="D77" s="1"/>
      <c r="E77" s="379"/>
      <c r="F77" s="379"/>
      <c r="G77" s="379"/>
      <c r="H77" s="379"/>
      <c r="I77" s="379"/>
      <c r="J77" s="379"/>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24" t="s">
        <v>95</v>
      </c>
      <c r="B1" s="624"/>
      <c r="C1" s="624"/>
      <c r="D1" s="624"/>
      <c r="E1" s="624"/>
      <c r="F1" s="624"/>
      <c r="G1" s="624"/>
      <c r="H1" s="624"/>
      <c r="I1" s="624"/>
      <c r="J1" s="624"/>
      <c r="K1" s="624"/>
      <c r="L1" s="624"/>
      <c r="M1" s="624"/>
      <c r="N1" s="624"/>
      <c r="O1" s="624"/>
      <c r="P1" s="624"/>
      <c r="Q1" s="624"/>
      <c r="R1" s="624"/>
    </row>
    <row r="2" spans="1:18" x14ac:dyDescent="0.35">
      <c r="A2" s="624"/>
      <c r="B2" s="624"/>
      <c r="C2" s="624"/>
      <c r="D2" s="624"/>
      <c r="E2" s="624"/>
      <c r="F2" s="624"/>
      <c r="G2" s="624"/>
      <c r="H2" s="624"/>
      <c r="I2" s="624"/>
      <c r="J2" s="624"/>
      <c r="K2" s="624"/>
      <c r="L2" s="624"/>
      <c r="M2" s="624"/>
      <c r="N2" s="624"/>
      <c r="O2" s="624"/>
      <c r="P2" s="624"/>
      <c r="Q2" s="624"/>
      <c r="R2" s="624"/>
    </row>
    <row r="3" spans="1:18" x14ac:dyDescent="0.35">
      <c r="A3" s="624"/>
      <c r="B3" s="624"/>
      <c r="C3" s="624"/>
      <c r="D3" s="624"/>
      <c r="E3" s="624"/>
      <c r="F3" s="624"/>
      <c r="G3" s="624"/>
      <c r="H3" s="624"/>
      <c r="I3" s="624"/>
      <c r="J3" s="624"/>
      <c r="K3" s="624"/>
      <c r="L3" s="624"/>
      <c r="M3" s="624"/>
      <c r="N3" s="624"/>
      <c r="O3" s="624"/>
      <c r="P3" s="624"/>
      <c r="Q3" s="624"/>
      <c r="R3" s="624"/>
    </row>
    <row r="4" spans="1:18" x14ac:dyDescent="0.35">
      <c r="A4" s="624"/>
      <c r="B4" s="624"/>
      <c r="C4" s="624"/>
      <c r="D4" s="624"/>
      <c r="E4" s="624"/>
      <c r="F4" s="624"/>
      <c r="G4" s="624"/>
      <c r="H4" s="624"/>
      <c r="I4" s="624"/>
      <c r="J4" s="624"/>
      <c r="K4" s="624"/>
      <c r="L4" s="624"/>
      <c r="M4" s="624"/>
      <c r="N4" s="624"/>
      <c r="O4" s="624"/>
      <c r="P4" s="624"/>
      <c r="Q4" s="624"/>
      <c r="R4" s="624"/>
    </row>
    <row r="5" spans="1:18" x14ac:dyDescent="0.35">
      <c r="A5" s="624"/>
      <c r="B5" s="624"/>
      <c r="C5" s="624"/>
      <c r="D5" s="624"/>
      <c r="E5" s="624"/>
      <c r="F5" s="624"/>
      <c r="G5" s="624"/>
      <c r="H5" s="624"/>
      <c r="I5" s="624"/>
      <c r="J5" s="624"/>
      <c r="K5" s="624"/>
      <c r="L5" s="624"/>
      <c r="M5" s="624"/>
      <c r="N5" s="624"/>
      <c r="O5" s="624"/>
      <c r="P5" s="624"/>
      <c r="Q5" s="624"/>
      <c r="R5" s="624"/>
    </row>
    <row r="8" spans="1:18" ht="15.5" x14ac:dyDescent="0.35">
      <c r="B8" s="145" t="s">
        <v>98</v>
      </c>
    </row>
    <row r="9" spans="1:18" ht="65.25" customHeight="1" x14ac:dyDescent="0.35">
      <c r="B9" s="632" t="s">
        <v>99</v>
      </c>
      <c r="C9" s="632"/>
      <c r="D9" s="632"/>
      <c r="E9" s="632"/>
      <c r="F9" s="632"/>
      <c r="G9" s="632"/>
      <c r="H9" s="632"/>
      <c r="I9" s="632"/>
      <c r="J9" s="632"/>
      <c r="K9" s="632"/>
      <c r="L9" s="632"/>
    </row>
    <row r="29" spans="2:11" x14ac:dyDescent="0.35">
      <c r="B29" s="624"/>
      <c r="C29" s="624"/>
      <c r="D29" s="624"/>
      <c r="E29" s="624"/>
      <c r="F29" s="624"/>
      <c r="G29" s="624"/>
      <c r="H29" s="624"/>
      <c r="I29" s="624"/>
      <c r="J29" s="624"/>
      <c r="K29" s="624"/>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24" t="s">
        <v>105</v>
      </c>
      <c r="C36" s="624"/>
      <c r="D36" s="624"/>
      <c r="E36" s="624"/>
      <c r="F36" s="624"/>
      <c r="G36" s="624"/>
      <c r="H36" s="624"/>
      <c r="I36" s="624"/>
      <c r="J36" s="624"/>
      <c r="K36" s="624"/>
      <c r="L36" s="624"/>
      <c r="M36" s="624"/>
    </row>
    <row r="38" spans="2:13" x14ac:dyDescent="0.35">
      <c r="B38" s="624" t="s">
        <v>106</v>
      </c>
      <c r="C38" s="624"/>
      <c r="D38" s="624"/>
      <c r="E38" s="624"/>
      <c r="F38" s="624"/>
      <c r="G38" s="624"/>
      <c r="H38" s="624"/>
      <c r="I38" s="624"/>
      <c r="J38" s="624"/>
      <c r="K38" s="624"/>
      <c r="L38" s="624"/>
      <c r="M38" s="624"/>
    </row>
    <row r="40" spans="2:13" x14ac:dyDescent="0.35">
      <c r="B40" s="624" t="s">
        <v>107</v>
      </c>
      <c r="C40" s="624"/>
      <c r="D40" s="624"/>
      <c r="E40" s="624"/>
      <c r="F40" s="624"/>
      <c r="G40" s="624"/>
      <c r="H40" s="624"/>
      <c r="I40" s="624"/>
      <c r="J40" s="624"/>
      <c r="K40" s="624"/>
      <c r="L40" s="624"/>
      <c r="M40" s="624"/>
    </row>
    <row r="42" spans="2:13" x14ac:dyDescent="0.35">
      <c r="B42" s="624" t="s">
        <v>108</v>
      </c>
      <c r="C42" s="624"/>
      <c r="D42" s="624"/>
      <c r="E42" s="624"/>
      <c r="F42" s="624"/>
      <c r="G42" s="624"/>
      <c r="H42" s="624"/>
      <c r="I42" s="624"/>
      <c r="J42" s="624"/>
    </row>
    <row r="47" spans="2:13" ht="18.5" x14ac:dyDescent="0.45">
      <c r="B47" s="348" t="s">
        <v>388</v>
      </c>
      <c r="C47" s="39"/>
    </row>
    <row r="48" spans="2:13" ht="15" thickBot="1" x14ac:dyDescent="0.4"/>
    <row r="49" spans="1:22" x14ac:dyDescent="0.35">
      <c r="A49" s="350" t="s">
        <v>80</v>
      </c>
      <c r="B49" s="351" t="s">
        <v>388</v>
      </c>
      <c r="C49" s="351"/>
      <c r="D49" s="351"/>
      <c r="E49" s="351"/>
      <c r="F49" s="371"/>
      <c r="G49" s="1"/>
      <c r="H49" s="1"/>
      <c r="K49" s="350" t="s">
        <v>390</v>
      </c>
      <c r="L49" s="351"/>
      <c r="M49" s="351"/>
      <c r="N49" s="351"/>
      <c r="O49" s="371"/>
      <c r="P49" s="357"/>
      <c r="R49" s="353" t="s">
        <v>81</v>
      </c>
      <c r="S49" s="351"/>
      <c r="T49" s="351"/>
      <c r="U49" s="351"/>
      <c r="V49" s="371"/>
    </row>
    <row r="50" spans="1:22" ht="26" x14ac:dyDescent="0.35">
      <c r="A50" s="354" t="s">
        <v>391</v>
      </c>
      <c r="B50" s="141" t="s">
        <v>403</v>
      </c>
      <c r="C50" s="141" t="s">
        <v>82</v>
      </c>
      <c r="D50" s="141" t="s">
        <v>96</v>
      </c>
      <c r="E50" s="141" t="s">
        <v>97</v>
      </c>
      <c r="F50" s="141" t="s">
        <v>79</v>
      </c>
      <c r="K50" s="141" t="s">
        <v>404</v>
      </c>
      <c r="L50" s="141" t="s">
        <v>82</v>
      </c>
      <c r="M50" s="141" t="s">
        <v>96</v>
      </c>
      <c r="N50" s="141" t="s">
        <v>97</v>
      </c>
      <c r="O50" s="141" t="s">
        <v>79</v>
      </c>
      <c r="R50" s="141" t="s">
        <v>405</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8"/>
      <c r="B52" s="139" t="s">
        <v>389</v>
      </c>
      <c r="C52" s="138">
        <v>30</v>
      </c>
      <c r="D52" s="138">
        <v>1</v>
      </c>
      <c r="E52" s="138">
        <v>4</v>
      </c>
      <c r="F52" s="138">
        <v>150</v>
      </c>
      <c r="K52" s="139" t="s">
        <v>389</v>
      </c>
      <c r="L52" s="142">
        <v>12</v>
      </c>
      <c r="M52" s="142">
        <v>1</v>
      </c>
      <c r="N52" s="142">
        <v>6</v>
      </c>
      <c r="O52" s="142">
        <v>60</v>
      </c>
      <c r="R52" s="139" t="s">
        <v>389</v>
      </c>
      <c r="S52" s="143">
        <v>2</v>
      </c>
      <c r="T52" s="143">
        <v>2</v>
      </c>
      <c r="U52" s="143">
        <v>5</v>
      </c>
      <c r="V52" s="143">
        <v>50</v>
      </c>
    </row>
    <row r="53" spans="1:22" x14ac:dyDescent="0.35">
      <c r="A53" s="368"/>
      <c r="B53" s="139" t="s">
        <v>184</v>
      </c>
      <c r="C53" s="138">
        <v>20</v>
      </c>
      <c r="D53" s="138">
        <v>1</v>
      </c>
      <c r="E53" s="138">
        <v>3</v>
      </c>
      <c r="F53" s="138">
        <v>120</v>
      </c>
      <c r="K53" s="139" t="s">
        <v>184</v>
      </c>
      <c r="L53" s="142">
        <v>10</v>
      </c>
      <c r="M53" s="142">
        <v>1</v>
      </c>
      <c r="N53" s="142">
        <v>3</v>
      </c>
      <c r="O53" s="142">
        <v>48</v>
      </c>
      <c r="R53" s="139" t="s">
        <v>184</v>
      </c>
      <c r="S53" s="143">
        <v>2</v>
      </c>
      <c r="T53" s="143">
        <v>2</v>
      </c>
      <c r="U53" s="143">
        <v>3</v>
      </c>
      <c r="V53" s="143">
        <v>40</v>
      </c>
    </row>
    <row r="54" spans="1:22" x14ac:dyDescent="0.35">
      <c r="A54" s="368"/>
      <c r="B54" s="139" t="s">
        <v>183</v>
      </c>
      <c r="C54" s="138">
        <v>20</v>
      </c>
      <c r="D54" s="138">
        <v>1</v>
      </c>
      <c r="E54" s="138">
        <v>3</v>
      </c>
      <c r="F54" s="138">
        <v>120</v>
      </c>
      <c r="K54" s="139" t="s">
        <v>183</v>
      </c>
      <c r="L54" s="142">
        <v>10</v>
      </c>
      <c r="M54" s="142">
        <v>1</v>
      </c>
      <c r="N54" s="142">
        <v>3</v>
      </c>
      <c r="O54" s="142">
        <v>48</v>
      </c>
      <c r="R54" s="139" t="s">
        <v>183</v>
      </c>
      <c r="S54" s="143">
        <v>2</v>
      </c>
      <c r="T54" s="143">
        <v>2</v>
      </c>
      <c r="U54" s="143">
        <v>3</v>
      </c>
      <c r="V54" s="143">
        <v>40</v>
      </c>
    </row>
    <row r="55" spans="1:22" x14ac:dyDescent="0.35">
      <c r="A55" s="368"/>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8"/>
      <c r="B56" s="139" t="s">
        <v>385</v>
      </c>
      <c r="C56" s="138">
        <v>5</v>
      </c>
      <c r="D56" s="138">
        <v>1</v>
      </c>
      <c r="E56" s="138">
        <v>4</v>
      </c>
      <c r="F56" s="138">
        <v>90</v>
      </c>
      <c r="K56" s="139" t="s">
        <v>385</v>
      </c>
      <c r="L56" s="142">
        <v>10</v>
      </c>
      <c r="M56" s="142">
        <v>1</v>
      </c>
      <c r="N56" s="142">
        <v>3</v>
      </c>
      <c r="O56" s="142">
        <v>48</v>
      </c>
      <c r="R56" s="139" t="s">
        <v>385</v>
      </c>
      <c r="S56" s="143">
        <v>2</v>
      </c>
      <c r="T56" s="143">
        <v>2</v>
      </c>
      <c r="U56" s="143">
        <v>3</v>
      </c>
      <c r="V56" s="143">
        <v>40</v>
      </c>
    </row>
    <row r="57" spans="1:22" x14ac:dyDescent="0.35">
      <c r="A57" s="368"/>
      <c r="B57" s="139" t="s">
        <v>182</v>
      </c>
      <c r="C57" s="138">
        <v>5</v>
      </c>
      <c r="D57" s="138">
        <v>1</v>
      </c>
      <c r="E57" s="138">
        <v>4</v>
      </c>
      <c r="F57" s="138">
        <v>90</v>
      </c>
      <c r="K57" s="139" t="s">
        <v>182</v>
      </c>
      <c r="L57" s="142">
        <v>4</v>
      </c>
      <c r="M57" s="142">
        <v>1</v>
      </c>
      <c r="N57" s="142">
        <v>6</v>
      </c>
      <c r="O57" s="142">
        <v>30</v>
      </c>
      <c r="R57" s="139" t="s">
        <v>182</v>
      </c>
      <c r="S57" s="143">
        <v>2</v>
      </c>
      <c r="T57" s="143">
        <v>2</v>
      </c>
      <c r="U57" s="143">
        <v>3</v>
      </c>
      <c r="V57" s="143">
        <v>15</v>
      </c>
    </row>
    <row r="58" spans="1:22" x14ac:dyDescent="0.35">
      <c r="A58" s="368"/>
      <c r="B58" s="139" t="s">
        <v>371</v>
      </c>
      <c r="C58" s="138">
        <v>5</v>
      </c>
      <c r="D58" s="138">
        <v>1</v>
      </c>
      <c r="E58" s="138">
        <v>3</v>
      </c>
      <c r="F58" s="138">
        <v>90</v>
      </c>
      <c r="K58" s="139" t="s">
        <v>371</v>
      </c>
      <c r="L58" s="142" t="s">
        <v>452</v>
      </c>
      <c r="M58" s="142" t="s">
        <v>452</v>
      </c>
      <c r="N58" s="142" t="s">
        <v>452</v>
      </c>
      <c r="O58" s="142" t="s">
        <v>452</v>
      </c>
      <c r="R58" s="139" t="s">
        <v>371</v>
      </c>
      <c r="S58" s="143" t="s">
        <v>452</v>
      </c>
      <c r="T58" s="143" t="s">
        <v>452</v>
      </c>
      <c r="U58" s="143" t="s">
        <v>452</v>
      </c>
      <c r="V58" s="143" t="s">
        <v>452</v>
      </c>
    </row>
    <row r="59" spans="1:22" x14ac:dyDescent="0.35">
      <c r="A59" s="368"/>
      <c r="B59" s="139" t="s">
        <v>181</v>
      </c>
      <c r="C59" s="138">
        <v>5</v>
      </c>
      <c r="D59" s="138">
        <v>1</v>
      </c>
      <c r="E59" s="138">
        <v>4</v>
      </c>
      <c r="F59" s="138">
        <v>90</v>
      </c>
      <c r="K59" s="139" t="s">
        <v>181</v>
      </c>
      <c r="L59" s="142">
        <v>4</v>
      </c>
      <c r="M59" s="142">
        <v>1</v>
      </c>
      <c r="N59" s="142">
        <v>6</v>
      </c>
      <c r="O59" s="142">
        <v>30</v>
      </c>
      <c r="R59" s="139" t="s">
        <v>181</v>
      </c>
      <c r="S59" s="143">
        <v>2</v>
      </c>
      <c r="T59" s="143">
        <v>2</v>
      </c>
      <c r="U59" s="143">
        <v>3</v>
      </c>
      <c r="V59" s="143">
        <v>15</v>
      </c>
    </row>
    <row r="60" spans="1:22" x14ac:dyDescent="0.35">
      <c r="A60" s="368"/>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8"/>
      <c r="B61" s="139" t="s">
        <v>372</v>
      </c>
      <c r="C61" s="138">
        <v>3</v>
      </c>
      <c r="D61" s="138">
        <v>1</v>
      </c>
      <c r="E61" s="138">
        <v>4</v>
      </c>
      <c r="F61" s="138">
        <v>30</v>
      </c>
      <c r="K61" s="139" t="s">
        <v>372</v>
      </c>
      <c r="L61" s="142">
        <v>3</v>
      </c>
      <c r="M61" s="142">
        <v>1</v>
      </c>
      <c r="N61" s="142">
        <v>4</v>
      </c>
      <c r="O61" s="142">
        <v>30</v>
      </c>
      <c r="R61" s="139" t="s">
        <v>372</v>
      </c>
      <c r="S61" s="143">
        <v>2</v>
      </c>
      <c r="T61" s="143">
        <v>2</v>
      </c>
      <c r="U61" s="143">
        <v>3</v>
      </c>
      <c r="V61" s="143">
        <v>10</v>
      </c>
    </row>
    <row r="62" spans="1:22" x14ac:dyDescent="0.35">
      <c r="A62" s="368"/>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9"/>
      <c r="B63" s="139" t="s">
        <v>423</v>
      </c>
      <c r="C63" s="138">
        <v>2</v>
      </c>
      <c r="D63" s="138">
        <v>1</v>
      </c>
      <c r="E63" s="138">
        <v>4</v>
      </c>
      <c r="F63" s="138">
        <v>8</v>
      </c>
      <c r="K63" s="139" t="s">
        <v>423</v>
      </c>
      <c r="L63" s="142">
        <v>2</v>
      </c>
      <c r="M63" s="142">
        <v>1</v>
      </c>
      <c r="N63" s="142">
        <v>4</v>
      </c>
      <c r="O63" s="142">
        <v>8</v>
      </c>
      <c r="R63" s="139" t="s">
        <v>423</v>
      </c>
      <c r="S63" s="143">
        <v>2</v>
      </c>
      <c r="T63" s="143">
        <v>1</v>
      </c>
      <c r="U63" s="143">
        <v>1</v>
      </c>
      <c r="V63" s="143">
        <v>1</v>
      </c>
    </row>
    <row r="64" spans="1:22" x14ac:dyDescent="0.35">
      <c r="A64" s="357"/>
    </row>
    <row r="65" spans="1:22" x14ac:dyDescent="0.35">
      <c r="A65" s="357"/>
    </row>
    <row r="66" spans="1:22" x14ac:dyDescent="0.35">
      <c r="A66" s="357"/>
    </row>
    <row r="67" spans="1:22" ht="26" x14ac:dyDescent="0.35">
      <c r="A67" s="354" t="s">
        <v>395</v>
      </c>
      <c r="B67" s="141" t="s">
        <v>406</v>
      </c>
      <c r="C67" s="141" t="s">
        <v>82</v>
      </c>
      <c r="D67" s="141" t="s">
        <v>96</v>
      </c>
      <c r="E67" s="141" t="s">
        <v>97</v>
      </c>
      <c r="F67" s="141" t="s">
        <v>79</v>
      </c>
      <c r="K67" s="141" t="s">
        <v>407</v>
      </c>
      <c r="L67" s="141" t="s">
        <v>82</v>
      </c>
      <c r="M67" s="141" t="s">
        <v>96</v>
      </c>
      <c r="N67" s="141" t="s">
        <v>97</v>
      </c>
      <c r="O67" s="141" t="s">
        <v>79</v>
      </c>
      <c r="R67" s="141" t="s">
        <v>408</v>
      </c>
      <c r="S67" s="141" t="s">
        <v>82</v>
      </c>
      <c r="T67" s="141" t="s">
        <v>96</v>
      </c>
      <c r="U67" s="141" t="s">
        <v>97</v>
      </c>
      <c r="V67" s="141" t="s">
        <v>79</v>
      </c>
    </row>
    <row r="68" spans="1:22" x14ac:dyDescent="0.35">
      <c r="A68" s="357"/>
      <c r="B68" s="139" t="s">
        <v>77</v>
      </c>
      <c r="C68" s="138">
        <v>20</v>
      </c>
      <c r="D68" s="138" t="s">
        <v>452</v>
      </c>
      <c r="E68" s="138">
        <v>3</v>
      </c>
      <c r="F68" s="138">
        <v>120</v>
      </c>
      <c r="K68" s="139" t="s">
        <v>77</v>
      </c>
      <c r="L68" s="142">
        <v>10</v>
      </c>
      <c r="M68" s="142" t="s">
        <v>452</v>
      </c>
      <c r="N68" s="142">
        <v>4</v>
      </c>
      <c r="O68" s="142">
        <v>50</v>
      </c>
      <c r="R68" s="139" t="s">
        <v>77</v>
      </c>
      <c r="S68" s="143">
        <v>1</v>
      </c>
      <c r="T68" s="143">
        <v>1</v>
      </c>
      <c r="U68" s="143">
        <v>3</v>
      </c>
      <c r="V68" s="143">
        <v>40</v>
      </c>
    </row>
    <row r="69" spans="1:22" x14ac:dyDescent="0.35">
      <c r="A69" s="357"/>
      <c r="B69" s="139" t="s">
        <v>389</v>
      </c>
      <c r="C69" s="138">
        <v>20</v>
      </c>
      <c r="D69" s="138" t="s">
        <v>452</v>
      </c>
      <c r="E69" s="138">
        <v>3</v>
      </c>
      <c r="F69" s="138">
        <v>120</v>
      </c>
      <c r="K69" s="139" t="s">
        <v>389</v>
      </c>
      <c r="L69" s="142">
        <v>10</v>
      </c>
      <c r="M69" s="142" t="s">
        <v>452</v>
      </c>
      <c r="N69" s="142">
        <v>4</v>
      </c>
      <c r="O69" s="142">
        <v>50</v>
      </c>
      <c r="R69" s="139" t="s">
        <v>389</v>
      </c>
      <c r="S69" s="143">
        <v>1</v>
      </c>
      <c r="T69" s="143">
        <v>1</v>
      </c>
      <c r="U69" s="143">
        <v>3</v>
      </c>
      <c r="V69" s="143">
        <v>40</v>
      </c>
    </row>
    <row r="70" spans="1:22" x14ac:dyDescent="0.35">
      <c r="A70" s="357"/>
      <c r="B70" s="139" t="s">
        <v>184</v>
      </c>
      <c r="C70" s="138">
        <v>15</v>
      </c>
      <c r="D70" s="138" t="s">
        <v>452</v>
      </c>
      <c r="E70" s="138">
        <v>2</v>
      </c>
      <c r="F70" s="138">
        <v>90</v>
      </c>
      <c r="K70" s="139" t="s">
        <v>184</v>
      </c>
      <c r="L70" s="142">
        <v>8</v>
      </c>
      <c r="M70" s="142" t="s">
        <v>452</v>
      </c>
      <c r="N70" s="142">
        <v>2</v>
      </c>
      <c r="O70" s="142">
        <v>40</v>
      </c>
      <c r="R70" s="139" t="s">
        <v>184</v>
      </c>
      <c r="S70" s="143">
        <v>1</v>
      </c>
      <c r="T70" s="143">
        <v>1</v>
      </c>
      <c r="U70" s="143">
        <v>2</v>
      </c>
      <c r="V70" s="143">
        <v>30</v>
      </c>
    </row>
    <row r="71" spans="1:22" x14ac:dyDescent="0.35">
      <c r="A71" s="357"/>
      <c r="B71" s="139" t="s">
        <v>183</v>
      </c>
      <c r="C71" s="138">
        <v>15</v>
      </c>
      <c r="D71" s="138" t="s">
        <v>452</v>
      </c>
      <c r="E71" s="138">
        <v>2</v>
      </c>
      <c r="F71" s="138">
        <v>90</v>
      </c>
      <c r="K71" s="139" t="s">
        <v>183</v>
      </c>
      <c r="L71" s="142">
        <v>8</v>
      </c>
      <c r="M71" s="142" t="s">
        <v>452</v>
      </c>
      <c r="N71" s="142">
        <v>2</v>
      </c>
      <c r="O71" s="142">
        <v>40</v>
      </c>
      <c r="R71" s="139" t="s">
        <v>183</v>
      </c>
      <c r="S71" s="143">
        <v>1</v>
      </c>
      <c r="T71" s="143">
        <v>1</v>
      </c>
      <c r="U71" s="143">
        <v>2</v>
      </c>
      <c r="V71" s="143">
        <v>30</v>
      </c>
    </row>
    <row r="72" spans="1:22" x14ac:dyDescent="0.35">
      <c r="A72" s="357"/>
      <c r="B72" s="139" t="s">
        <v>94</v>
      </c>
      <c r="C72" s="138">
        <v>4</v>
      </c>
      <c r="D72" s="138" t="s">
        <v>452</v>
      </c>
      <c r="E72" s="138">
        <v>3</v>
      </c>
      <c r="F72" s="138">
        <v>70</v>
      </c>
      <c r="K72" s="139" t="s">
        <v>94</v>
      </c>
      <c r="L72" s="142">
        <v>4</v>
      </c>
      <c r="M72" s="142" t="s">
        <v>452</v>
      </c>
      <c r="N72" s="142">
        <v>2</v>
      </c>
      <c r="O72" s="142">
        <v>35</v>
      </c>
      <c r="R72" s="139" t="s">
        <v>94</v>
      </c>
      <c r="S72" s="143">
        <v>1</v>
      </c>
      <c r="T72" s="143">
        <v>1</v>
      </c>
      <c r="U72" s="143">
        <v>2</v>
      </c>
      <c r="V72" s="143">
        <v>30</v>
      </c>
    </row>
    <row r="73" spans="1:22" x14ac:dyDescent="0.35">
      <c r="A73" s="357"/>
      <c r="B73" s="139" t="s">
        <v>385</v>
      </c>
      <c r="C73" s="138">
        <v>4</v>
      </c>
      <c r="D73" s="138" t="s">
        <v>452</v>
      </c>
      <c r="E73" s="138">
        <v>3</v>
      </c>
      <c r="F73" s="138">
        <v>70</v>
      </c>
      <c r="K73" s="139" t="s">
        <v>385</v>
      </c>
      <c r="L73" s="142">
        <v>8</v>
      </c>
      <c r="M73" s="142" t="s">
        <v>452</v>
      </c>
      <c r="N73" s="142">
        <v>2</v>
      </c>
      <c r="O73" s="142">
        <v>40</v>
      </c>
      <c r="R73" s="139" t="s">
        <v>385</v>
      </c>
      <c r="S73" s="143">
        <v>1</v>
      </c>
      <c r="T73" s="143">
        <v>1</v>
      </c>
      <c r="U73" s="143">
        <v>2</v>
      </c>
      <c r="V73" s="143">
        <v>30</v>
      </c>
    </row>
    <row r="74" spans="1:22" x14ac:dyDescent="0.35">
      <c r="A74" s="357"/>
      <c r="B74" s="139" t="s">
        <v>182</v>
      </c>
      <c r="C74" s="138">
        <v>4</v>
      </c>
      <c r="D74" s="138" t="s">
        <v>452</v>
      </c>
      <c r="E74" s="138">
        <v>3</v>
      </c>
      <c r="F74" s="138">
        <v>70</v>
      </c>
      <c r="K74" s="139" t="s">
        <v>182</v>
      </c>
      <c r="L74" s="142">
        <v>3</v>
      </c>
      <c r="M74" s="142" t="s">
        <v>452</v>
      </c>
      <c r="N74" s="142">
        <v>4</v>
      </c>
      <c r="O74" s="142">
        <v>25</v>
      </c>
      <c r="R74" s="139" t="s">
        <v>182</v>
      </c>
      <c r="S74" s="143">
        <v>1</v>
      </c>
      <c r="T74" s="143">
        <v>1</v>
      </c>
      <c r="U74" s="143">
        <v>2</v>
      </c>
      <c r="V74" s="143">
        <v>10</v>
      </c>
    </row>
    <row r="75" spans="1:22" x14ac:dyDescent="0.35">
      <c r="A75" s="357"/>
      <c r="B75" s="139" t="s">
        <v>371</v>
      </c>
      <c r="C75" s="138">
        <v>4</v>
      </c>
      <c r="D75" s="138" t="s">
        <v>452</v>
      </c>
      <c r="E75" s="138">
        <v>2</v>
      </c>
      <c r="F75" s="138">
        <v>70</v>
      </c>
      <c r="K75" s="139" t="s">
        <v>371</v>
      </c>
      <c r="L75" s="142" t="s">
        <v>452</v>
      </c>
      <c r="M75" s="142" t="s">
        <v>452</v>
      </c>
      <c r="N75" s="142" t="s">
        <v>452</v>
      </c>
      <c r="O75" s="142" t="s">
        <v>452</v>
      </c>
      <c r="R75" s="139" t="s">
        <v>371</v>
      </c>
      <c r="S75" s="143" t="s">
        <v>452</v>
      </c>
      <c r="T75" s="143" t="s">
        <v>452</v>
      </c>
      <c r="U75" s="143" t="s">
        <v>452</v>
      </c>
      <c r="V75" s="143" t="s">
        <v>452</v>
      </c>
    </row>
    <row r="76" spans="1:22" x14ac:dyDescent="0.35">
      <c r="A76" s="1"/>
      <c r="B76" s="139" t="s">
        <v>181</v>
      </c>
      <c r="C76" s="138">
        <v>4</v>
      </c>
      <c r="D76" s="138" t="s">
        <v>452</v>
      </c>
      <c r="E76" s="138">
        <v>3</v>
      </c>
      <c r="F76" s="138">
        <v>70</v>
      </c>
      <c r="K76" s="139" t="s">
        <v>181</v>
      </c>
      <c r="L76" s="142">
        <v>3</v>
      </c>
      <c r="M76" s="142" t="s">
        <v>452</v>
      </c>
      <c r="N76" s="142">
        <v>4</v>
      </c>
      <c r="O76" s="142">
        <v>25</v>
      </c>
      <c r="R76" s="139" t="s">
        <v>181</v>
      </c>
      <c r="S76" s="143">
        <v>1</v>
      </c>
      <c r="T76" s="143">
        <v>1</v>
      </c>
      <c r="U76" s="143">
        <v>2</v>
      </c>
      <c r="V76" s="143">
        <v>10</v>
      </c>
    </row>
    <row r="77" spans="1:22" x14ac:dyDescent="0.35">
      <c r="A77" s="357"/>
      <c r="B77" s="139" t="s">
        <v>86</v>
      </c>
      <c r="C77" s="138">
        <v>2</v>
      </c>
      <c r="D77" s="138" t="s">
        <v>452</v>
      </c>
      <c r="E77" s="138">
        <v>2</v>
      </c>
      <c r="F77" s="138">
        <v>25</v>
      </c>
      <c r="K77" s="139" t="s">
        <v>86</v>
      </c>
      <c r="L77" s="142">
        <v>3</v>
      </c>
      <c r="M77" s="142" t="s">
        <v>452</v>
      </c>
      <c r="N77" s="142">
        <v>4</v>
      </c>
      <c r="O77" s="142">
        <v>25</v>
      </c>
      <c r="R77" s="139" t="s">
        <v>86</v>
      </c>
      <c r="S77" s="143">
        <v>1</v>
      </c>
      <c r="T77" s="143">
        <v>1</v>
      </c>
      <c r="U77" s="143">
        <v>2</v>
      </c>
      <c r="V77" s="143">
        <v>7</v>
      </c>
    </row>
    <row r="78" spans="1:22" x14ac:dyDescent="0.35">
      <c r="A78" s="357"/>
      <c r="B78" s="139" t="s">
        <v>372</v>
      </c>
      <c r="C78" s="138">
        <v>2</v>
      </c>
      <c r="D78" s="138" t="s">
        <v>452</v>
      </c>
      <c r="E78" s="138">
        <v>2</v>
      </c>
      <c r="F78" s="138">
        <v>25</v>
      </c>
      <c r="K78" s="139" t="s">
        <v>372</v>
      </c>
      <c r="L78" s="142">
        <v>2</v>
      </c>
      <c r="M78" s="142" t="s">
        <v>452</v>
      </c>
      <c r="N78" s="142">
        <v>2</v>
      </c>
      <c r="O78" s="142">
        <v>25</v>
      </c>
      <c r="R78" s="139" t="s">
        <v>372</v>
      </c>
      <c r="S78" s="143">
        <v>1</v>
      </c>
      <c r="T78" s="143">
        <v>1</v>
      </c>
      <c r="U78" s="143">
        <v>2</v>
      </c>
      <c r="V78" s="143">
        <v>7</v>
      </c>
    </row>
    <row r="79" spans="1:22" x14ac:dyDescent="0.35">
      <c r="A79" s="357"/>
      <c r="B79" s="139" t="s">
        <v>88</v>
      </c>
      <c r="C79" s="138">
        <v>1</v>
      </c>
      <c r="D79" s="138" t="s">
        <v>452</v>
      </c>
      <c r="E79" s="138">
        <v>2</v>
      </c>
      <c r="F79" s="138">
        <v>6</v>
      </c>
      <c r="K79" s="139" t="s">
        <v>88</v>
      </c>
      <c r="L79" s="142">
        <v>1</v>
      </c>
      <c r="M79" s="142" t="s">
        <v>452</v>
      </c>
      <c r="N79" s="142">
        <v>2</v>
      </c>
      <c r="O79" s="142">
        <v>6</v>
      </c>
      <c r="R79" s="139" t="s">
        <v>88</v>
      </c>
      <c r="S79" s="143" t="s">
        <v>452</v>
      </c>
      <c r="T79" s="143">
        <v>1</v>
      </c>
      <c r="U79" s="143" t="s">
        <v>452</v>
      </c>
      <c r="V79" s="143">
        <v>4</v>
      </c>
    </row>
    <row r="80" spans="1:22" x14ac:dyDescent="0.35">
      <c r="A80" s="370"/>
      <c r="B80" s="139" t="s">
        <v>423</v>
      </c>
      <c r="C80" s="138">
        <v>1</v>
      </c>
      <c r="D80" s="138" t="s">
        <v>452</v>
      </c>
      <c r="E80" s="138">
        <v>2</v>
      </c>
      <c r="F80" s="138">
        <v>6</v>
      </c>
      <c r="K80" s="139" t="s">
        <v>423</v>
      </c>
      <c r="L80" s="142">
        <v>1</v>
      </c>
      <c r="M80" s="142" t="s">
        <v>452</v>
      </c>
      <c r="N80" s="142">
        <v>2</v>
      </c>
      <c r="O80" s="142">
        <v>6</v>
      </c>
      <c r="R80" s="139" t="s">
        <v>423</v>
      </c>
      <c r="S80" s="143">
        <v>1</v>
      </c>
      <c r="T80" s="143" t="s">
        <v>452</v>
      </c>
      <c r="U80" s="143" t="s">
        <v>452</v>
      </c>
      <c r="V80" s="143" t="s">
        <v>452</v>
      </c>
    </row>
    <row r="81" spans="1:22" x14ac:dyDescent="0.35">
      <c r="A81" s="357"/>
    </row>
    <row r="82" spans="1:22" x14ac:dyDescent="0.35">
      <c r="A82" s="357"/>
    </row>
    <row r="83" spans="1:22" x14ac:dyDescent="0.35">
      <c r="A83" s="357"/>
    </row>
    <row r="84" spans="1:22" ht="26" x14ac:dyDescent="0.35">
      <c r="A84" s="354" t="s">
        <v>399</v>
      </c>
      <c r="B84" s="141" t="s">
        <v>409</v>
      </c>
      <c r="C84" s="141" t="s">
        <v>82</v>
      </c>
      <c r="D84" s="141" t="s">
        <v>96</v>
      </c>
      <c r="E84" s="141" t="s">
        <v>97</v>
      </c>
      <c r="F84" s="141" t="s">
        <v>79</v>
      </c>
      <c r="K84" s="141" t="s">
        <v>410</v>
      </c>
      <c r="L84" s="141" t="s">
        <v>82</v>
      </c>
      <c r="M84" s="141" t="s">
        <v>96</v>
      </c>
      <c r="N84" s="141" t="s">
        <v>97</v>
      </c>
      <c r="O84" s="141" t="s">
        <v>79</v>
      </c>
      <c r="R84" s="141" t="s">
        <v>411</v>
      </c>
      <c r="S84" s="141" t="s">
        <v>82</v>
      </c>
      <c r="T84" s="141" t="s">
        <v>96</v>
      </c>
      <c r="U84" s="141" t="s">
        <v>97</v>
      </c>
      <c r="V84" s="141" t="s">
        <v>79</v>
      </c>
    </row>
    <row r="85" spans="1:22" x14ac:dyDescent="0.35">
      <c r="A85" s="357"/>
      <c r="B85" s="139" t="s">
        <v>77</v>
      </c>
      <c r="C85" s="138">
        <v>15</v>
      </c>
      <c r="D85" s="138" t="s">
        <v>452</v>
      </c>
      <c r="E85" s="138">
        <v>2</v>
      </c>
      <c r="F85" s="138">
        <v>90</v>
      </c>
      <c r="K85" s="139" t="s">
        <v>77</v>
      </c>
      <c r="L85" s="142">
        <v>8</v>
      </c>
      <c r="M85" s="142" t="s">
        <v>452</v>
      </c>
      <c r="N85" s="142">
        <v>2</v>
      </c>
      <c r="O85" s="142">
        <v>40</v>
      </c>
      <c r="R85" s="139" t="s">
        <v>77</v>
      </c>
      <c r="S85" s="143" t="s">
        <v>452</v>
      </c>
      <c r="T85" s="143" t="s">
        <v>452</v>
      </c>
      <c r="U85" s="143">
        <v>1</v>
      </c>
      <c r="V85" s="143">
        <v>30</v>
      </c>
    </row>
    <row r="86" spans="1:22" x14ac:dyDescent="0.35">
      <c r="A86" s="357"/>
      <c r="B86" s="139" t="s">
        <v>389</v>
      </c>
      <c r="C86" s="138">
        <v>15</v>
      </c>
      <c r="D86" s="138" t="s">
        <v>452</v>
      </c>
      <c r="E86" s="138">
        <v>2</v>
      </c>
      <c r="F86" s="138">
        <v>90</v>
      </c>
      <c r="K86" s="139" t="s">
        <v>389</v>
      </c>
      <c r="L86" s="142">
        <v>8</v>
      </c>
      <c r="M86" s="142" t="s">
        <v>452</v>
      </c>
      <c r="N86" s="142">
        <v>2</v>
      </c>
      <c r="O86" s="142">
        <v>40</v>
      </c>
      <c r="R86" s="139" t="s">
        <v>389</v>
      </c>
      <c r="S86" s="143" t="s">
        <v>452</v>
      </c>
      <c r="T86" s="143" t="s">
        <v>452</v>
      </c>
      <c r="U86" s="143">
        <v>1</v>
      </c>
      <c r="V86" s="143">
        <v>30</v>
      </c>
    </row>
    <row r="87" spans="1:22" x14ac:dyDescent="0.35">
      <c r="A87" s="357"/>
      <c r="B87" s="139" t="s">
        <v>184</v>
      </c>
      <c r="C87" s="138">
        <v>10</v>
      </c>
      <c r="D87" s="138" t="s">
        <v>452</v>
      </c>
      <c r="E87" s="138">
        <v>1</v>
      </c>
      <c r="F87" s="138">
        <v>70</v>
      </c>
      <c r="K87" s="139" t="s">
        <v>184</v>
      </c>
      <c r="L87" s="142">
        <v>6</v>
      </c>
      <c r="M87" s="142" t="s">
        <v>452</v>
      </c>
      <c r="N87" s="142">
        <v>1</v>
      </c>
      <c r="O87" s="142">
        <v>30</v>
      </c>
      <c r="R87" s="139" t="s">
        <v>184</v>
      </c>
      <c r="S87" s="143" t="s">
        <v>452</v>
      </c>
      <c r="T87" s="143" t="s">
        <v>452</v>
      </c>
      <c r="U87" s="143">
        <v>1</v>
      </c>
      <c r="V87" s="143">
        <v>20</v>
      </c>
    </row>
    <row r="88" spans="1:22" x14ac:dyDescent="0.35">
      <c r="A88" s="357"/>
      <c r="B88" s="139" t="s">
        <v>183</v>
      </c>
      <c r="C88" s="138">
        <v>10</v>
      </c>
      <c r="D88" s="138" t="s">
        <v>452</v>
      </c>
      <c r="E88" s="138">
        <v>1</v>
      </c>
      <c r="F88" s="138">
        <v>70</v>
      </c>
      <c r="K88" s="139" t="s">
        <v>183</v>
      </c>
      <c r="L88" s="142">
        <v>6</v>
      </c>
      <c r="M88" s="142" t="s">
        <v>452</v>
      </c>
      <c r="N88" s="142">
        <v>1</v>
      </c>
      <c r="O88" s="142">
        <v>30</v>
      </c>
      <c r="R88" s="139" t="s">
        <v>183</v>
      </c>
      <c r="S88" s="143" t="s">
        <v>452</v>
      </c>
      <c r="T88" s="143" t="s">
        <v>452</v>
      </c>
      <c r="U88" s="143">
        <v>1</v>
      </c>
      <c r="V88" s="143">
        <v>20</v>
      </c>
    </row>
    <row r="89" spans="1:22" x14ac:dyDescent="0.35">
      <c r="A89" s="357"/>
      <c r="B89" s="139" t="s">
        <v>94</v>
      </c>
      <c r="C89" s="138">
        <v>3</v>
      </c>
      <c r="D89" s="138" t="s">
        <v>452</v>
      </c>
      <c r="E89" s="138">
        <v>1</v>
      </c>
      <c r="F89" s="138">
        <v>50</v>
      </c>
      <c r="K89" s="139" t="s">
        <v>94</v>
      </c>
      <c r="L89" s="142">
        <v>3</v>
      </c>
      <c r="M89" s="142" t="s">
        <v>452</v>
      </c>
      <c r="N89" s="142">
        <v>1</v>
      </c>
      <c r="O89" s="142">
        <v>30</v>
      </c>
      <c r="R89" s="139" t="s">
        <v>94</v>
      </c>
      <c r="S89" s="143" t="s">
        <v>452</v>
      </c>
      <c r="T89" s="143" t="s">
        <v>452</v>
      </c>
      <c r="U89" s="143">
        <v>1</v>
      </c>
      <c r="V89" s="143">
        <v>20</v>
      </c>
    </row>
    <row r="90" spans="1:22" x14ac:dyDescent="0.35">
      <c r="A90" s="357"/>
      <c r="B90" s="139" t="s">
        <v>385</v>
      </c>
      <c r="C90" s="138">
        <v>3</v>
      </c>
      <c r="D90" s="138" t="s">
        <v>452</v>
      </c>
      <c r="E90" s="138">
        <v>1</v>
      </c>
      <c r="F90" s="138">
        <v>50</v>
      </c>
      <c r="K90" s="139" t="s">
        <v>385</v>
      </c>
      <c r="L90" s="142">
        <v>6</v>
      </c>
      <c r="M90" s="142" t="s">
        <v>452</v>
      </c>
      <c r="N90" s="142">
        <v>1</v>
      </c>
      <c r="O90" s="142">
        <v>30</v>
      </c>
      <c r="R90" s="139" t="s">
        <v>385</v>
      </c>
      <c r="S90" s="143" t="s">
        <v>452</v>
      </c>
      <c r="T90" s="143" t="s">
        <v>452</v>
      </c>
      <c r="U90" s="143">
        <v>1</v>
      </c>
      <c r="V90" s="143">
        <v>20</v>
      </c>
    </row>
    <row r="91" spans="1:22" x14ac:dyDescent="0.35">
      <c r="A91" s="357"/>
      <c r="B91" s="139" t="s">
        <v>182</v>
      </c>
      <c r="C91" s="138">
        <v>3</v>
      </c>
      <c r="D91" s="138" t="s">
        <v>452</v>
      </c>
      <c r="E91" s="138">
        <v>1</v>
      </c>
      <c r="F91" s="138">
        <v>50</v>
      </c>
      <c r="K91" s="139" t="s">
        <v>182</v>
      </c>
      <c r="L91" s="142">
        <v>2</v>
      </c>
      <c r="M91" s="142" t="s">
        <v>452</v>
      </c>
      <c r="N91" s="142">
        <v>1</v>
      </c>
      <c r="O91" s="142">
        <v>20</v>
      </c>
      <c r="R91" s="139" t="s">
        <v>182</v>
      </c>
      <c r="S91" s="143" t="s">
        <v>452</v>
      </c>
      <c r="T91" s="143" t="s">
        <v>452</v>
      </c>
      <c r="U91" s="143">
        <v>1</v>
      </c>
      <c r="V91" s="143">
        <v>5</v>
      </c>
    </row>
    <row r="92" spans="1:22" x14ac:dyDescent="0.35">
      <c r="A92" s="357"/>
      <c r="B92" s="139" t="s">
        <v>371</v>
      </c>
      <c r="C92" s="138">
        <v>3</v>
      </c>
      <c r="D92" s="138" t="s">
        <v>452</v>
      </c>
      <c r="E92" s="138">
        <v>1</v>
      </c>
      <c r="F92" s="138">
        <v>50</v>
      </c>
      <c r="K92" s="139" t="s">
        <v>371</v>
      </c>
      <c r="L92" s="142" t="s">
        <v>452</v>
      </c>
      <c r="M92" s="142" t="s">
        <v>452</v>
      </c>
      <c r="N92" s="142" t="s">
        <v>452</v>
      </c>
      <c r="O92" s="142" t="s">
        <v>452</v>
      </c>
      <c r="R92" s="139" t="s">
        <v>371</v>
      </c>
      <c r="S92" s="143" t="s">
        <v>452</v>
      </c>
      <c r="T92" s="143" t="s">
        <v>452</v>
      </c>
      <c r="U92" s="143" t="s">
        <v>452</v>
      </c>
      <c r="V92" s="143" t="s">
        <v>452</v>
      </c>
    </row>
    <row r="93" spans="1:22" x14ac:dyDescent="0.35">
      <c r="A93" s="358"/>
      <c r="B93" s="139" t="s">
        <v>181</v>
      </c>
      <c r="C93" s="138">
        <v>3</v>
      </c>
      <c r="D93" s="138" t="s">
        <v>452</v>
      </c>
      <c r="E93" s="138">
        <v>1</v>
      </c>
      <c r="F93" s="138">
        <v>50</v>
      </c>
      <c r="K93" s="139" t="s">
        <v>181</v>
      </c>
      <c r="L93" s="142">
        <v>2</v>
      </c>
      <c r="M93" s="142" t="s">
        <v>452</v>
      </c>
      <c r="N93" s="142">
        <v>1</v>
      </c>
      <c r="O93" s="142">
        <v>20</v>
      </c>
      <c r="R93" s="139" t="s">
        <v>181</v>
      </c>
      <c r="S93" s="143" t="s">
        <v>452</v>
      </c>
      <c r="T93" s="143" t="s">
        <v>452</v>
      </c>
      <c r="U93" s="143">
        <v>1</v>
      </c>
      <c r="V93" s="143">
        <v>5</v>
      </c>
    </row>
    <row r="94" spans="1:22" x14ac:dyDescent="0.35">
      <c r="A94" s="1"/>
      <c r="B94" s="139" t="s">
        <v>86</v>
      </c>
      <c r="C94" s="138">
        <v>1</v>
      </c>
      <c r="D94" s="138" t="s">
        <v>452</v>
      </c>
      <c r="E94" s="138">
        <v>1</v>
      </c>
      <c r="F94" s="138">
        <v>20</v>
      </c>
      <c r="K94" s="139" t="s">
        <v>86</v>
      </c>
      <c r="L94" s="142">
        <v>2</v>
      </c>
      <c r="M94" s="142" t="s">
        <v>452</v>
      </c>
      <c r="N94" s="142">
        <v>1</v>
      </c>
      <c r="O94" s="142">
        <v>20</v>
      </c>
      <c r="R94" s="139" t="s">
        <v>86</v>
      </c>
      <c r="S94" s="143" t="s">
        <v>452</v>
      </c>
      <c r="T94" s="143" t="s">
        <v>452</v>
      </c>
      <c r="U94" s="143">
        <v>1</v>
      </c>
      <c r="V94" s="143">
        <v>3</v>
      </c>
    </row>
    <row r="95" spans="1:22" x14ac:dyDescent="0.35">
      <c r="B95" s="139" t="s">
        <v>372</v>
      </c>
      <c r="C95" s="138">
        <v>1</v>
      </c>
      <c r="D95" s="138" t="s">
        <v>452</v>
      </c>
      <c r="E95" s="138">
        <v>1</v>
      </c>
      <c r="F95" s="138">
        <v>20</v>
      </c>
      <c r="K95" s="139" t="s">
        <v>372</v>
      </c>
      <c r="L95" s="142">
        <v>1</v>
      </c>
      <c r="M95" s="142" t="s">
        <v>452</v>
      </c>
      <c r="N95" s="142">
        <v>1</v>
      </c>
      <c r="O95" s="142">
        <v>20</v>
      </c>
      <c r="R95" s="139" t="s">
        <v>372</v>
      </c>
      <c r="S95" s="143" t="s">
        <v>452</v>
      </c>
      <c r="T95" s="143" t="s">
        <v>452</v>
      </c>
      <c r="U95" s="143">
        <v>1</v>
      </c>
      <c r="V95" s="143">
        <v>3</v>
      </c>
    </row>
    <row r="96" spans="1:22" x14ac:dyDescent="0.35">
      <c r="B96" s="139" t="s">
        <v>88</v>
      </c>
      <c r="C96" s="138" t="s">
        <v>452</v>
      </c>
      <c r="D96" s="138" t="s">
        <v>452</v>
      </c>
      <c r="E96" s="138">
        <v>1</v>
      </c>
      <c r="F96" s="138">
        <v>4</v>
      </c>
      <c r="K96" s="139" t="s">
        <v>88</v>
      </c>
      <c r="L96" s="142" t="s">
        <v>452</v>
      </c>
      <c r="M96" s="142" t="s">
        <v>452</v>
      </c>
      <c r="N96" s="142">
        <v>1</v>
      </c>
      <c r="O96" s="142">
        <v>4</v>
      </c>
      <c r="R96" s="139" t="s">
        <v>88</v>
      </c>
      <c r="S96" s="143" t="s">
        <v>452</v>
      </c>
      <c r="T96" s="143" t="s">
        <v>452</v>
      </c>
      <c r="U96" s="143" t="s">
        <v>452</v>
      </c>
      <c r="V96" s="143">
        <v>2</v>
      </c>
    </row>
    <row r="97" spans="1:22" x14ac:dyDescent="0.35">
      <c r="A97" s="359"/>
      <c r="B97" s="139" t="s">
        <v>423</v>
      </c>
      <c r="C97" s="138">
        <v>1</v>
      </c>
      <c r="D97" s="138" t="s">
        <v>452</v>
      </c>
      <c r="E97" s="138">
        <v>1</v>
      </c>
      <c r="F97" s="138">
        <v>4</v>
      </c>
      <c r="K97" s="139" t="s">
        <v>423</v>
      </c>
      <c r="L97" s="142" t="s">
        <v>452</v>
      </c>
      <c r="M97" s="142" t="s">
        <v>452</v>
      </c>
      <c r="N97" s="142">
        <v>1</v>
      </c>
      <c r="O97" s="142">
        <v>4</v>
      </c>
      <c r="R97" s="139" t="s">
        <v>423</v>
      </c>
      <c r="S97" s="143" t="s">
        <v>452</v>
      </c>
      <c r="T97" s="143" t="s">
        <v>452</v>
      </c>
      <c r="U97" s="143" t="s">
        <v>452</v>
      </c>
      <c r="V97" s="143" t="s">
        <v>452</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8" bestFit="1" customWidth="1"/>
    <col min="3" max="3" width="12.7265625" style="338" customWidth="1"/>
    <col min="4" max="7" width="8.7265625" style="338" customWidth="1"/>
    <col min="8" max="8" width="11.453125" style="338" customWidth="1"/>
    <col min="9" max="10" width="8.7265625" style="338" customWidth="1"/>
    <col min="11" max="12" width="13.1796875" style="338" customWidth="1"/>
    <col min="13" max="13" width="24" style="338"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1" t="s">
        <v>368</v>
      </c>
      <c r="B3" s="297" t="s">
        <v>369</v>
      </c>
      <c r="C3" s="297" t="s">
        <v>370</v>
      </c>
      <c r="D3" s="297" t="s">
        <v>184</v>
      </c>
      <c r="E3" s="297" t="s">
        <v>183</v>
      </c>
      <c r="F3" s="297" t="s">
        <v>94</v>
      </c>
      <c r="G3" s="297" t="s">
        <v>182</v>
      </c>
      <c r="H3" s="297" t="s">
        <v>371</v>
      </c>
      <c r="I3" s="297" t="s">
        <v>181</v>
      </c>
      <c r="J3" s="297" t="s">
        <v>86</v>
      </c>
      <c r="K3" s="297" t="s">
        <v>372</v>
      </c>
      <c r="L3" s="297" t="s">
        <v>88</v>
      </c>
      <c r="M3" s="297" t="s">
        <v>413</v>
      </c>
    </row>
    <row r="4" spans="1:13" ht="13" x14ac:dyDescent="0.3">
      <c r="A4" s="130" t="s">
        <v>285</v>
      </c>
      <c r="B4" s="297"/>
      <c r="C4" s="332"/>
      <c r="D4" s="297"/>
      <c r="E4" s="297"/>
      <c r="F4" s="297"/>
      <c r="G4" s="297"/>
      <c r="H4" s="297"/>
      <c r="I4" s="297"/>
      <c r="J4" s="297"/>
      <c r="K4" s="297"/>
      <c r="L4" s="17"/>
      <c r="M4" s="297"/>
    </row>
    <row r="5" spans="1:13" x14ac:dyDescent="0.25">
      <c r="A5" s="130" t="s">
        <v>373</v>
      </c>
      <c r="B5" s="297">
        <v>101</v>
      </c>
      <c r="C5" s="297">
        <v>83</v>
      </c>
      <c r="D5" s="297">
        <v>52</v>
      </c>
      <c r="E5" s="297">
        <v>51</v>
      </c>
      <c r="F5" s="297">
        <v>25</v>
      </c>
      <c r="G5" s="297">
        <v>21</v>
      </c>
      <c r="H5" s="297">
        <v>22</v>
      </c>
      <c r="I5" s="297">
        <v>15</v>
      </c>
      <c r="J5" s="297">
        <v>10</v>
      </c>
      <c r="K5" s="297">
        <v>9</v>
      </c>
      <c r="L5" s="187">
        <v>4</v>
      </c>
      <c r="M5" s="297">
        <v>2</v>
      </c>
    </row>
    <row r="6" spans="1:13" x14ac:dyDescent="0.25">
      <c r="A6" s="188" t="s">
        <v>185</v>
      </c>
      <c r="B6" s="297"/>
      <c r="C6" s="297"/>
      <c r="D6" s="297"/>
      <c r="E6" s="297"/>
      <c r="F6" s="297"/>
      <c r="G6" s="297"/>
      <c r="H6" s="297"/>
      <c r="I6" s="297"/>
      <c r="J6" s="297"/>
      <c r="K6" s="297"/>
      <c r="L6" s="17"/>
      <c r="M6" s="297"/>
    </row>
    <row r="7" spans="1:13" x14ac:dyDescent="0.25">
      <c r="A7" s="301" t="s">
        <v>186</v>
      </c>
      <c r="B7" s="297"/>
      <c r="C7" s="297"/>
      <c r="D7" s="297"/>
      <c r="E7" s="297"/>
      <c r="F7" s="297"/>
      <c r="G7" s="297"/>
      <c r="H7" s="297"/>
      <c r="I7" s="297"/>
      <c r="J7" s="297"/>
      <c r="K7" s="297"/>
      <c r="L7" s="17"/>
      <c r="M7" s="297"/>
    </row>
    <row r="8" spans="1:13" x14ac:dyDescent="0.25">
      <c r="A8" s="188" t="s">
        <v>187</v>
      </c>
      <c r="B8" s="297"/>
      <c r="C8" s="297"/>
      <c r="D8" s="297"/>
      <c r="E8" s="297"/>
      <c r="F8" s="297"/>
      <c r="G8" s="297"/>
      <c r="H8" s="297"/>
      <c r="I8" s="297"/>
      <c r="J8" s="297"/>
      <c r="K8" s="297"/>
      <c r="L8" s="17"/>
      <c r="M8" s="297"/>
    </row>
    <row r="9" spans="1:13" x14ac:dyDescent="0.25">
      <c r="A9" s="301" t="s">
        <v>188</v>
      </c>
      <c r="B9" s="297"/>
      <c r="C9" s="297"/>
      <c r="D9" s="297"/>
      <c r="E9" s="297"/>
      <c r="F9" s="297"/>
      <c r="G9" s="297"/>
      <c r="H9" s="297"/>
      <c r="I9" s="297"/>
      <c r="J9" s="297"/>
      <c r="K9" s="297"/>
      <c r="L9" s="17"/>
      <c r="M9" s="297"/>
    </row>
    <row r="10" spans="1:13" x14ac:dyDescent="0.25">
      <c r="A10" s="301" t="s">
        <v>189</v>
      </c>
      <c r="B10" s="297"/>
      <c r="C10" s="297"/>
      <c r="D10" s="297"/>
      <c r="E10" s="297"/>
      <c r="F10" s="297"/>
      <c r="G10" s="297"/>
      <c r="H10" s="297"/>
      <c r="I10" s="297"/>
      <c r="J10" s="297"/>
      <c r="K10" s="297"/>
      <c r="L10" s="17"/>
      <c r="M10" s="297"/>
    </row>
    <row r="11" spans="1:13" x14ac:dyDescent="0.25">
      <c r="A11" s="299" t="s">
        <v>190</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287</v>
      </c>
      <c r="B13" s="297"/>
      <c r="C13" s="297"/>
      <c r="D13" s="297"/>
      <c r="E13" s="297"/>
      <c r="F13" s="297"/>
      <c r="G13" s="297"/>
      <c r="H13" s="297"/>
      <c r="I13" s="297"/>
      <c r="J13" s="297"/>
      <c r="K13" s="297"/>
      <c r="L13" s="17"/>
      <c r="M13" s="297"/>
    </row>
    <row r="14" spans="1:13" x14ac:dyDescent="0.25">
      <c r="A14" s="301" t="s">
        <v>374</v>
      </c>
      <c r="B14" s="297">
        <v>8</v>
      </c>
      <c r="C14" s="297">
        <v>8</v>
      </c>
      <c r="D14" s="297">
        <v>6</v>
      </c>
      <c r="E14" s="297">
        <v>6</v>
      </c>
      <c r="F14" s="297">
        <v>3</v>
      </c>
      <c r="G14" s="297">
        <v>3</v>
      </c>
      <c r="H14" s="297">
        <v>3</v>
      </c>
      <c r="I14" s="297">
        <v>3</v>
      </c>
      <c r="J14" s="297">
        <v>2</v>
      </c>
      <c r="K14" s="297">
        <v>1</v>
      </c>
      <c r="L14" s="187">
        <v>1</v>
      </c>
      <c r="M14" s="297">
        <v>1</v>
      </c>
    </row>
    <row r="15" spans="1:13" x14ac:dyDescent="0.25">
      <c r="A15" s="188" t="s">
        <v>375</v>
      </c>
      <c r="B15" s="297">
        <v>4</v>
      </c>
      <c r="C15" s="297">
        <v>4</v>
      </c>
      <c r="D15" s="297">
        <v>3</v>
      </c>
      <c r="E15" s="297">
        <v>3</v>
      </c>
      <c r="F15" s="297">
        <v>2</v>
      </c>
      <c r="G15" s="297">
        <v>2</v>
      </c>
      <c r="H15" s="297">
        <v>2</v>
      </c>
      <c r="I15" s="297">
        <v>2</v>
      </c>
      <c r="J15" s="297">
        <v>1</v>
      </c>
      <c r="K15" s="297">
        <v>1</v>
      </c>
      <c r="L15" s="187">
        <v>1</v>
      </c>
      <c r="M15" s="297">
        <v>1</v>
      </c>
    </row>
    <row r="16" spans="1:13" x14ac:dyDescent="0.25">
      <c r="A16" s="301" t="s">
        <v>376</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377</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3" t="s">
        <v>378</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3" t="s">
        <v>379</v>
      </c>
      <c r="B19" s="297">
        <v>20</v>
      </c>
      <c r="C19" s="297">
        <v>20</v>
      </c>
      <c r="D19" s="297">
        <v>20</v>
      </c>
      <c r="E19" s="297">
        <v>20</v>
      </c>
      <c r="F19" s="297">
        <v>20</v>
      </c>
      <c r="G19" s="297">
        <v>20</v>
      </c>
      <c r="H19" s="297">
        <v>20</v>
      </c>
      <c r="I19" s="297">
        <v>20</v>
      </c>
      <c r="J19" s="297">
        <v>10</v>
      </c>
      <c r="K19" s="297">
        <v>7</v>
      </c>
      <c r="L19" s="187">
        <v>6</v>
      </c>
      <c r="M19" s="297">
        <v>5</v>
      </c>
    </row>
    <row r="20" spans="1:13" x14ac:dyDescent="0.25">
      <c r="A20" s="333"/>
      <c r="B20" s="297"/>
      <c r="C20" s="297"/>
      <c r="D20" s="297"/>
      <c r="E20" s="297"/>
      <c r="F20" s="297"/>
      <c r="G20" s="297"/>
      <c r="H20" s="297"/>
      <c r="I20" s="297"/>
      <c r="J20" s="297"/>
      <c r="K20" s="297"/>
      <c r="L20" s="297"/>
      <c r="M20" s="297"/>
    </row>
    <row r="21" spans="1:13" x14ac:dyDescent="0.25">
      <c r="A21" s="130" t="s">
        <v>288</v>
      </c>
      <c r="B21" s="297"/>
      <c r="C21" s="297"/>
      <c r="D21" s="297"/>
      <c r="E21" s="297"/>
      <c r="F21" s="297"/>
      <c r="G21" s="297"/>
      <c r="H21" s="297"/>
      <c r="I21" s="297"/>
      <c r="J21" s="297"/>
      <c r="K21" s="297"/>
      <c r="L21" s="297"/>
      <c r="M21" s="297"/>
    </row>
    <row r="22" spans="1:13" ht="18" customHeight="1" x14ac:dyDescent="0.25">
      <c r="A22" s="130" t="s">
        <v>380</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289</v>
      </c>
      <c r="B23" s="297"/>
      <c r="C23" s="297"/>
      <c r="D23" s="297"/>
      <c r="E23" s="297"/>
      <c r="F23" s="297"/>
      <c r="G23" s="297"/>
      <c r="H23" s="297"/>
      <c r="I23" s="297"/>
      <c r="J23" s="334" t="s">
        <v>128</v>
      </c>
      <c r="K23" s="334"/>
      <c r="L23" s="334"/>
      <c r="M23" s="334"/>
    </row>
    <row r="24" spans="1:13" x14ac:dyDescent="0.25">
      <c r="A24" s="301" t="s">
        <v>290</v>
      </c>
      <c r="B24" s="297"/>
      <c r="C24" s="297"/>
      <c r="D24" s="297"/>
      <c r="E24" s="297"/>
      <c r="F24" s="297"/>
      <c r="G24" s="297"/>
      <c r="H24" s="297"/>
      <c r="I24" s="297"/>
      <c r="J24" s="334"/>
      <c r="K24" s="334"/>
      <c r="L24" s="334"/>
      <c r="M24" s="334"/>
    </row>
    <row r="25" spans="1:13" x14ac:dyDescent="0.25">
      <c r="A25" s="188" t="s">
        <v>291</v>
      </c>
      <c r="B25" s="297"/>
      <c r="C25" s="297"/>
      <c r="D25" s="297"/>
      <c r="E25" s="297"/>
      <c r="F25" s="297"/>
      <c r="G25" s="297"/>
      <c r="H25" s="297"/>
      <c r="I25" s="297"/>
      <c r="J25" s="334" t="s">
        <v>128</v>
      </c>
      <c r="K25" s="334"/>
      <c r="L25" s="334"/>
      <c r="M25" s="334"/>
    </row>
    <row r="26" spans="1:13" x14ac:dyDescent="0.25">
      <c r="A26" s="188" t="s">
        <v>292</v>
      </c>
      <c r="B26" s="297"/>
      <c r="C26" s="297"/>
      <c r="D26" s="297"/>
      <c r="E26" s="297"/>
      <c r="F26" s="297"/>
      <c r="G26" s="297"/>
      <c r="H26" s="297"/>
      <c r="I26" s="297"/>
      <c r="J26" s="334" t="s">
        <v>128</v>
      </c>
      <c r="K26" s="334"/>
      <c r="L26" s="334"/>
      <c r="M26" s="334"/>
    </row>
    <row r="27" spans="1:13" x14ac:dyDescent="0.25">
      <c r="A27" s="188" t="s">
        <v>293</v>
      </c>
      <c r="B27" s="297"/>
      <c r="C27" s="297"/>
      <c r="D27" s="297"/>
      <c r="E27" s="297"/>
      <c r="F27" s="297"/>
      <c r="G27" s="297"/>
      <c r="H27" s="297"/>
      <c r="I27" s="297"/>
      <c r="J27" s="334"/>
      <c r="K27" s="334"/>
      <c r="L27" s="334"/>
      <c r="M27" s="334"/>
    </row>
    <row r="28" spans="1:13" x14ac:dyDescent="0.25">
      <c r="A28" s="188" t="s">
        <v>294</v>
      </c>
      <c r="B28" s="297"/>
      <c r="C28" s="297"/>
      <c r="D28" s="297"/>
      <c r="E28" s="297"/>
      <c r="F28" s="297"/>
      <c r="G28" s="297"/>
      <c r="H28" s="297"/>
      <c r="I28" s="297"/>
      <c r="J28" s="334"/>
      <c r="K28" s="334"/>
      <c r="L28" s="334"/>
      <c r="M28" s="334"/>
    </row>
    <row r="29" spans="1:13" x14ac:dyDescent="0.25">
      <c r="A29" s="188" t="s">
        <v>295</v>
      </c>
      <c r="B29" s="297"/>
      <c r="C29" s="297"/>
      <c r="D29" s="297"/>
      <c r="E29" s="297"/>
      <c r="F29" s="297"/>
      <c r="G29" s="297"/>
      <c r="H29" s="297"/>
      <c r="I29" s="297"/>
      <c r="J29" s="334"/>
      <c r="K29" s="334"/>
      <c r="L29" s="334"/>
      <c r="M29" s="334"/>
    </row>
    <row r="30" spans="1:13" x14ac:dyDescent="0.25">
      <c r="A30" s="188" t="s">
        <v>296</v>
      </c>
      <c r="B30" s="297"/>
      <c r="C30" s="297"/>
      <c r="D30" s="297"/>
      <c r="E30" s="297"/>
      <c r="F30" s="297"/>
      <c r="G30" s="297"/>
      <c r="H30" s="297"/>
      <c r="I30" s="297"/>
      <c r="J30" s="334" t="s">
        <v>128</v>
      </c>
      <c r="K30" s="334"/>
      <c r="L30" s="334"/>
      <c r="M30" s="334"/>
    </row>
    <row r="31" spans="1:13" x14ac:dyDescent="0.25">
      <c r="A31" s="188" t="s">
        <v>297</v>
      </c>
      <c r="B31" s="297"/>
      <c r="C31" s="297"/>
      <c r="D31" s="297"/>
      <c r="E31" s="297"/>
      <c r="F31" s="297"/>
      <c r="G31" s="297"/>
      <c r="H31" s="297"/>
      <c r="I31" s="297"/>
      <c r="J31" s="334"/>
      <c r="K31" s="334"/>
      <c r="L31" s="334"/>
      <c r="M31" s="334"/>
    </row>
    <row r="32" spans="1:13" x14ac:dyDescent="0.25">
      <c r="A32" s="188" t="s">
        <v>298</v>
      </c>
      <c r="B32" s="297"/>
      <c r="C32" s="297"/>
      <c r="D32" s="297"/>
      <c r="E32" s="297"/>
      <c r="F32" s="297"/>
      <c r="G32" s="297"/>
      <c r="H32" s="297"/>
      <c r="I32" s="297"/>
      <c r="J32" s="334"/>
      <c r="K32" s="334"/>
      <c r="L32" s="334"/>
      <c r="M32" s="334"/>
    </row>
    <row r="33" spans="1:13" x14ac:dyDescent="0.25">
      <c r="A33" s="298" t="s">
        <v>286</v>
      </c>
      <c r="B33" s="297"/>
      <c r="C33" s="297"/>
      <c r="D33" s="297"/>
      <c r="E33" s="297"/>
      <c r="F33" s="297"/>
      <c r="G33" s="297"/>
      <c r="H33" s="297"/>
      <c r="I33" s="297"/>
      <c r="J33" s="297"/>
      <c r="K33" s="297"/>
      <c r="L33" s="297"/>
      <c r="M33" s="297"/>
    </row>
    <row r="34" spans="1:13" x14ac:dyDescent="0.25">
      <c r="A34" s="130" t="s">
        <v>299</v>
      </c>
      <c r="B34" s="297"/>
      <c r="C34" s="297"/>
      <c r="D34" s="297"/>
      <c r="E34" s="297"/>
      <c r="F34" s="297"/>
      <c r="G34" s="297"/>
      <c r="H34" s="297"/>
      <c r="I34" s="297"/>
      <c r="J34" s="297"/>
      <c r="K34" s="297"/>
      <c r="L34" s="297"/>
      <c r="M34" s="297"/>
    </row>
    <row r="35" spans="1:13" x14ac:dyDescent="0.25">
      <c r="A35" s="130" t="s">
        <v>381</v>
      </c>
      <c r="B35" s="297">
        <v>18</v>
      </c>
      <c r="C35" s="297">
        <v>18</v>
      </c>
      <c r="D35" s="297">
        <v>18</v>
      </c>
      <c r="E35" s="297">
        <v>18</v>
      </c>
      <c r="F35" s="297">
        <v>6</v>
      </c>
      <c r="G35" s="297">
        <v>15</v>
      </c>
      <c r="H35" s="297">
        <v>3</v>
      </c>
      <c r="I35" s="297">
        <v>3</v>
      </c>
      <c r="J35" s="297">
        <v>1</v>
      </c>
      <c r="K35" s="334" t="s">
        <v>128</v>
      </c>
      <c r="L35" s="334" t="s">
        <v>128</v>
      </c>
      <c r="M35" s="334" t="s">
        <v>128</v>
      </c>
    </row>
    <row r="36" spans="1:13" s="300" customFormat="1" ht="25" x14ac:dyDescent="0.35">
      <c r="A36" s="335" t="s">
        <v>300</v>
      </c>
      <c r="B36" s="334"/>
      <c r="C36" s="334"/>
      <c r="D36" s="334"/>
      <c r="E36" s="334"/>
      <c r="F36" s="334"/>
      <c r="G36" s="334"/>
      <c r="H36" s="334"/>
      <c r="I36" s="334"/>
      <c r="J36" s="334" t="s">
        <v>128</v>
      </c>
      <c r="K36" s="334"/>
      <c r="L36" s="334"/>
      <c r="M36" s="334"/>
    </row>
    <row r="37" spans="1:13" s="300" customFormat="1" ht="21.75" customHeight="1" x14ac:dyDescent="0.35">
      <c r="A37" s="336" t="s">
        <v>301</v>
      </c>
      <c r="B37" s="334"/>
      <c r="C37" s="334"/>
      <c r="D37" s="334"/>
      <c r="E37" s="334"/>
      <c r="F37" s="334"/>
      <c r="G37" s="334"/>
      <c r="H37" s="334"/>
      <c r="I37" s="334"/>
      <c r="J37" s="334"/>
      <c r="K37" s="334"/>
      <c r="L37" s="334"/>
      <c r="M37" s="334"/>
    </row>
    <row r="38" spans="1:13" s="300" customFormat="1" ht="25" x14ac:dyDescent="0.35">
      <c r="A38" s="335" t="s">
        <v>302</v>
      </c>
      <c r="B38" s="334"/>
      <c r="C38" s="334"/>
      <c r="D38" s="334"/>
      <c r="E38" s="334"/>
      <c r="F38" s="334"/>
      <c r="G38" s="334"/>
      <c r="H38" s="334"/>
      <c r="I38" s="334"/>
      <c r="J38" s="334" t="s">
        <v>128</v>
      </c>
      <c r="K38" s="334"/>
      <c r="L38" s="334"/>
      <c r="M38" s="334"/>
    </row>
    <row r="39" spans="1:13" s="300" customFormat="1" ht="25" x14ac:dyDescent="0.35">
      <c r="A39" s="335" t="s">
        <v>303</v>
      </c>
      <c r="B39" s="334"/>
      <c r="C39" s="334"/>
      <c r="D39" s="334"/>
      <c r="E39" s="334"/>
      <c r="F39" s="334"/>
      <c r="G39" s="334"/>
      <c r="H39" s="334"/>
      <c r="I39" s="334"/>
      <c r="J39" s="334" t="s">
        <v>128</v>
      </c>
      <c r="K39" s="334"/>
      <c r="L39" s="334"/>
      <c r="M39" s="334"/>
    </row>
    <row r="40" spans="1:13" s="300" customFormat="1" ht="25" x14ac:dyDescent="0.35">
      <c r="A40" s="335" t="s">
        <v>304</v>
      </c>
      <c r="B40" s="334"/>
      <c r="C40" s="334"/>
      <c r="D40" s="334"/>
      <c r="E40" s="334"/>
      <c r="F40" s="334"/>
      <c r="G40" s="334"/>
      <c r="H40" s="334"/>
      <c r="I40" s="334"/>
      <c r="J40" s="334" t="s">
        <v>128</v>
      </c>
      <c r="K40" s="334"/>
      <c r="L40" s="334"/>
      <c r="M40" s="334"/>
    </row>
    <row r="41" spans="1:13" s="300" customFormat="1" ht="25" x14ac:dyDescent="0.35">
      <c r="A41" s="335" t="s">
        <v>305</v>
      </c>
      <c r="B41" s="334"/>
      <c r="C41" s="334"/>
      <c r="D41" s="334"/>
      <c r="E41" s="334"/>
      <c r="F41" s="334"/>
      <c r="G41" s="334"/>
      <c r="H41" s="334"/>
      <c r="I41" s="334"/>
      <c r="J41" s="334" t="s">
        <v>128</v>
      </c>
      <c r="K41" s="334"/>
      <c r="L41" s="334"/>
      <c r="M41" s="334"/>
    </row>
    <row r="42" spans="1:13" s="300" customFormat="1" ht="25" x14ac:dyDescent="0.35">
      <c r="A42" s="335" t="s">
        <v>306</v>
      </c>
      <c r="B42" s="334"/>
      <c r="C42" s="334"/>
      <c r="D42" s="334"/>
      <c r="E42" s="334"/>
      <c r="F42" s="334"/>
      <c r="G42" s="334"/>
      <c r="H42" s="334"/>
      <c r="I42" s="334"/>
      <c r="J42" s="334" t="s">
        <v>128</v>
      </c>
      <c r="K42" s="334"/>
      <c r="L42" s="334"/>
      <c r="M42" s="334"/>
    </row>
    <row r="43" spans="1:13" s="300" customFormat="1" ht="25" x14ac:dyDescent="0.35">
      <c r="A43" s="335" t="s">
        <v>307</v>
      </c>
      <c r="B43" s="334"/>
      <c r="C43" s="334"/>
      <c r="D43" s="334"/>
      <c r="E43" s="334"/>
      <c r="F43" s="334"/>
      <c r="G43" s="334"/>
      <c r="H43" s="334"/>
      <c r="I43" s="334"/>
      <c r="J43" s="334" t="s">
        <v>128</v>
      </c>
      <c r="K43" s="334"/>
      <c r="L43" s="334"/>
      <c r="M43" s="334"/>
    </row>
    <row r="44" spans="1:13" s="300" customFormat="1" ht="25" x14ac:dyDescent="0.35">
      <c r="A44" s="335" t="s">
        <v>308</v>
      </c>
      <c r="B44" s="334"/>
      <c r="C44" s="334"/>
      <c r="D44" s="334"/>
      <c r="E44" s="334"/>
      <c r="F44" s="334"/>
      <c r="G44" s="334"/>
      <c r="H44" s="334"/>
      <c r="I44" s="334"/>
      <c r="J44" s="334" t="s">
        <v>128</v>
      </c>
      <c r="K44" s="334"/>
      <c r="L44" s="334"/>
      <c r="M44" s="334"/>
    </row>
    <row r="45" spans="1:13" s="300" customFormat="1" ht="25" x14ac:dyDescent="0.35">
      <c r="A45" s="335" t="s">
        <v>309</v>
      </c>
      <c r="B45" s="334"/>
      <c r="C45" s="334"/>
      <c r="D45" s="334"/>
      <c r="E45" s="334"/>
      <c r="F45" s="334"/>
      <c r="G45" s="334"/>
      <c r="H45" s="334"/>
      <c r="I45" s="334"/>
      <c r="J45" s="334" t="s">
        <v>128</v>
      </c>
      <c r="K45" s="334"/>
      <c r="L45" s="334"/>
      <c r="M45" s="334"/>
    </row>
    <row r="46" spans="1:13" s="300" customFormat="1" ht="25" x14ac:dyDescent="0.35">
      <c r="A46" s="335" t="s">
        <v>310</v>
      </c>
      <c r="B46" s="334"/>
      <c r="C46" s="334"/>
      <c r="D46" s="334"/>
      <c r="E46" s="334"/>
      <c r="F46" s="334"/>
      <c r="G46" s="334"/>
      <c r="H46" s="334"/>
      <c r="I46" s="334"/>
      <c r="J46" s="334" t="s">
        <v>128</v>
      </c>
      <c r="K46" s="334"/>
      <c r="L46" s="334"/>
      <c r="M46" s="334"/>
    </row>
    <row r="47" spans="1:13" s="300" customFormat="1" ht="25" x14ac:dyDescent="0.35">
      <c r="A47" s="335" t="s">
        <v>311</v>
      </c>
      <c r="B47" s="334"/>
      <c r="C47" s="334"/>
      <c r="D47" s="334"/>
      <c r="E47" s="334"/>
      <c r="F47" s="334"/>
      <c r="G47" s="334"/>
      <c r="H47" s="334"/>
      <c r="I47" s="334"/>
      <c r="J47" s="334" t="s">
        <v>128</v>
      </c>
      <c r="K47" s="334"/>
      <c r="L47" s="334"/>
      <c r="M47" s="334"/>
    </row>
    <row r="48" spans="1:13" s="300" customFormat="1" x14ac:dyDescent="0.35">
      <c r="A48" s="335" t="s">
        <v>312</v>
      </c>
      <c r="B48" s="334"/>
      <c r="C48" s="334"/>
      <c r="D48" s="334"/>
      <c r="E48" s="334"/>
      <c r="F48" s="334"/>
      <c r="G48" s="334"/>
      <c r="H48" s="334"/>
      <c r="I48" s="334"/>
      <c r="J48" s="334" t="s">
        <v>128</v>
      </c>
      <c r="K48" s="334"/>
      <c r="L48" s="334"/>
      <c r="M48" s="334"/>
    </row>
    <row r="49" spans="1:13" s="300" customFormat="1" ht="25" x14ac:dyDescent="0.35">
      <c r="A49" s="335" t="s">
        <v>313</v>
      </c>
      <c r="B49" s="334"/>
      <c r="C49" s="334"/>
      <c r="D49" s="334"/>
      <c r="E49" s="334"/>
      <c r="F49" s="334"/>
      <c r="G49" s="334"/>
      <c r="H49" s="334"/>
      <c r="I49" s="334"/>
      <c r="J49" s="334" t="s">
        <v>128</v>
      </c>
      <c r="K49" s="334"/>
      <c r="L49" s="334"/>
      <c r="M49" s="334"/>
    </row>
    <row r="50" spans="1:13" s="300" customFormat="1" ht="25" x14ac:dyDescent="0.35">
      <c r="A50" s="335" t="s">
        <v>314</v>
      </c>
      <c r="B50" s="334"/>
      <c r="C50" s="334"/>
      <c r="D50" s="334"/>
      <c r="E50" s="334"/>
      <c r="F50" s="334"/>
      <c r="G50" s="334"/>
      <c r="H50" s="334"/>
      <c r="I50" s="334"/>
      <c r="J50" s="334" t="s">
        <v>128</v>
      </c>
      <c r="K50" s="334"/>
      <c r="L50" s="334"/>
      <c r="M50" s="334"/>
    </row>
    <row r="51" spans="1:13" s="300" customFormat="1" ht="25" x14ac:dyDescent="0.35">
      <c r="A51" s="335" t="s">
        <v>315</v>
      </c>
      <c r="B51" s="334"/>
      <c r="C51" s="334"/>
      <c r="D51" s="334"/>
      <c r="E51" s="334"/>
      <c r="F51" s="334"/>
      <c r="G51" s="334"/>
      <c r="H51" s="334"/>
      <c r="I51" s="334"/>
      <c r="J51" s="334" t="s">
        <v>128</v>
      </c>
      <c r="K51" s="334"/>
      <c r="L51" s="334"/>
      <c r="M51" s="334"/>
    </row>
    <row r="52" spans="1:13" s="300" customFormat="1" ht="25" x14ac:dyDescent="0.35">
      <c r="A52" s="335" t="s">
        <v>316</v>
      </c>
      <c r="B52" s="334"/>
      <c r="C52" s="334"/>
      <c r="D52" s="334"/>
      <c r="E52" s="334"/>
      <c r="F52" s="334"/>
      <c r="G52" s="334"/>
      <c r="H52" s="334"/>
      <c r="I52" s="334"/>
      <c r="J52" s="334" t="s">
        <v>128</v>
      </c>
      <c r="K52" s="334"/>
      <c r="L52" s="334"/>
      <c r="M52" s="334"/>
    </row>
    <row r="53" spans="1:13" s="300" customFormat="1" ht="25" x14ac:dyDescent="0.35">
      <c r="A53" s="335" t="s">
        <v>317</v>
      </c>
      <c r="B53" s="334"/>
      <c r="C53" s="334"/>
      <c r="D53" s="334"/>
      <c r="E53" s="334"/>
      <c r="F53" s="334"/>
      <c r="G53" s="334"/>
      <c r="H53" s="334"/>
      <c r="I53" s="334"/>
      <c r="J53" s="334" t="s">
        <v>128</v>
      </c>
      <c r="K53" s="334"/>
      <c r="L53" s="334"/>
      <c r="M53" s="334"/>
    </row>
    <row r="54" spans="1:13" s="300" customFormat="1" ht="25" x14ac:dyDescent="0.35">
      <c r="A54" s="335" t="s">
        <v>318</v>
      </c>
      <c r="B54" s="334"/>
      <c r="C54" s="334"/>
      <c r="D54" s="334"/>
      <c r="E54" s="334"/>
      <c r="F54" s="334"/>
      <c r="G54" s="334"/>
      <c r="H54" s="334"/>
      <c r="I54" s="334"/>
      <c r="J54" s="334"/>
      <c r="K54" s="334"/>
      <c r="L54" s="334"/>
      <c r="M54" s="334"/>
    </row>
    <row r="55" spans="1:13" s="300" customFormat="1" ht="21.75" customHeight="1" x14ac:dyDescent="0.35">
      <c r="A55" s="337" t="s">
        <v>319</v>
      </c>
      <c r="B55" s="334"/>
      <c r="C55" s="334"/>
      <c r="D55" s="334"/>
      <c r="E55" s="334"/>
      <c r="F55" s="334"/>
      <c r="G55" s="334"/>
      <c r="H55" s="334"/>
      <c r="I55" s="334"/>
      <c r="J55" s="334"/>
      <c r="K55" s="334"/>
      <c r="L55" s="334"/>
      <c r="M55" s="334"/>
    </row>
    <row r="56" spans="1:13" x14ac:dyDescent="0.25">
      <c r="A56" s="298"/>
      <c r="B56" s="297"/>
      <c r="C56" s="297"/>
      <c r="D56" s="297"/>
      <c r="E56" s="297"/>
      <c r="F56" s="297"/>
      <c r="G56" s="297"/>
      <c r="H56" s="297"/>
      <c r="I56" s="297"/>
      <c r="J56" s="297"/>
      <c r="K56" s="297"/>
      <c r="L56" s="297"/>
      <c r="M56" s="297"/>
    </row>
    <row r="57" spans="1:13" ht="14.5" x14ac:dyDescent="0.35">
      <c r="A57" s="344" t="s">
        <v>453</v>
      </c>
      <c r="B57" s="139" t="s">
        <v>77</v>
      </c>
      <c r="C57" s="345">
        <v>101</v>
      </c>
      <c r="D57"/>
      <c r="E57"/>
      <c r="F57"/>
      <c r="G57"/>
      <c r="H57"/>
      <c r="I57"/>
      <c r="J57"/>
      <c r="K57"/>
      <c r="L57" s="297"/>
      <c r="M57" s="297"/>
    </row>
    <row r="58" spans="1:13" ht="14.5" x14ac:dyDescent="0.35">
      <c r="A58"/>
      <c r="B58" s="139" t="s">
        <v>389</v>
      </c>
      <c r="C58" s="345">
        <v>83</v>
      </c>
      <c r="D58"/>
      <c r="E58"/>
      <c r="F58"/>
      <c r="G58"/>
      <c r="H58"/>
      <c r="I58"/>
      <c r="J58"/>
      <c r="K58"/>
    </row>
    <row r="59" spans="1:13" ht="14.5" x14ac:dyDescent="0.35">
      <c r="A59"/>
      <c r="B59" s="139" t="s">
        <v>184</v>
      </c>
      <c r="C59" s="345">
        <v>52</v>
      </c>
      <c r="D59"/>
      <c r="E59"/>
      <c r="F59"/>
      <c r="G59"/>
      <c r="H59"/>
      <c r="I59"/>
      <c r="J59"/>
      <c r="K59"/>
    </row>
    <row r="60" spans="1:13" ht="14.5" x14ac:dyDescent="0.35">
      <c r="A60"/>
      <c r="B60" s="139" t="s">
        <v>183</v>
      </c>
      <c r="C60" s="345">
        <v>51</v>
      </c>
      <c r="D60"/>
      <c r="E60"/>
      <c r="F60"/>
      <c r="G60"/>
      <c r="H60"/>
      <c r="I60"/>
      <c r="J60"/>
      <c r="K60"/>
    </row>
    <row r="61" spans="1:13" ht="14.5" x14ac:dyDescent="0.35">
      <c r="A61"/>
      <c r="B61" s="139" t="s">
        <v>94</v>
      </c>
      <c r="C61" s="345">
        <v>25</v>
      </c>
      <c r="D61"/>
      <c r="E61"/>
      <c r="F61"/>
      <c r="G61"/>
      <c r="H61"/>
      <c r="I61"/>
      <c r="J61"/>
      <c r="K61"/>
    </row>
    <row r="62" spans="1:13" ht="14.5" x14ac:dyDescent="0.35">
      <c r="A62"/>
      <c r="B62" s="139" t="s">
        <v>385</v>
      </c>
      <c r="C62" s="345">
        <v>21</v>
      </c>
      <c r="D62"/>
      <c r="E62"/>
      <c r="F62"/>
      <c r="G62"/>
      <c r="H62"/>
      <c r="I62"/>
      <c r="J62"/>
      <c r="K62"/>
    </row>
    <row r="63" spans="1:13" ht="14.5" x14ac:dyDescent="0.35">
      <c r="A63"/>
      <c r="B63" s="139" t="s">
        <v>182</v>
      </c>
      <c r="C63" s="345">
        <v>21</v>
      </c>
      <c r="D63"/>
      <c r="E63"/>
      <c r="F63"/>
      <c r="G63"/>
      <c r="H63"/>
      <c r="I63"/>
      <c r="J63"/>
      <c r="K63"/>
    </row>
    <row r="64" spans="1:13" ht="14.5" x14ac:dyDescent="0.35">
      <c r="A64"/>
      <c r="B64" s="139" t="s">
        <v>371</v>
      </c>
      <c r="C64" s="345">
        <v>22</v>
      </c>
      <c r="D64"/>
      <c r="E64"/>
      <c r="F64"/>
      <c r="G64"/>
      <c r="H64"/>
      <c r="I64"/>
      <c r="J64"/>
      <c r="K64"/>
    </row>
    <row r="65" spans="1:11" ht="14.5" x14ac:dyDescent="0.35">
      <c r="A65"/>
      <c r="B65" s="139" t="s">
        <v>181</v>
      </c>
      <c r="C65" s="345">
        <v>15</v>
      </c>
      <c r="D65"/>
      <c r="E65"/>
      <c r="F65"/>
      <c r="G65"/>
      <c r="H65"/>
      <c r="I65"/>
      <c r="J65"/>
      <c r="K65"/>
    </row>
    <row r="66" spans="1:11" ht="14.5" x14ac:dyDescent="0.35">
      <c r="A66"/>
      <c r="B66" s="139" t="s">
        <v>86</v>
      </c>
      <c r="C66" s="345">
        <v>10</v>
      </c>
      <c r="D66"/>
      <c r="E66"/>
      <c r="F66"/>
      <c r="G66"/>
      <c r="H66"/>
      <c r="I66"/>
      <c r="J66"/>
      <c r="K66"/>
    </row>
    <row r="67" spans="1:11" ht="14.5" x14ac:dyDescent="0.35">
      <c r="A67"/>
      <c r="B67" s="139" t="s">
        <v>372</v>
      </c>
      <c r="C67" s="345">
        <v>9</v>
      </c>
      <c r="D67"/>
      <c r="E67"/>
      <c r="F67"/>
      <c r="G67"/>
      <c r="H67"/>
      <c r="I67"/>
      <c r="J67"/>
      <c r="K67"/>
    </row>
    <row r="68" spans="1:11" ht="14.5" x14ac:dyDescent="0.35">
      <c r="A68"/>
      <c r="B68" s="139" t="s">
        <v>88</v>
      </c>
      <c r="C68" s="346">
        <v>4</v>
      </c>
      <c r="D68"/>
      <c r="E68"/>
      <c r="F68"/>
      <c r="G68"/>
      <c r="H68"/>
      <c r="I68"/>
      <c r="J68"/>
      <c r="K68"/>
    </row>
    <row r="69" spans="1:11" ht="14.5" x14ac:dyDescent="0.35">
      <c r="A69"/>
      <c r="B69" s="139" t="s">
        <v>423</v>
      </c>
      <c r="C69" s="345">
        <v>2</v>
      </c>
      <c r="D69"/>
      <c r="E69"/>
      <c r="F69"/>
      <c r="G69"/>
      <c r="H69"/>
      <c r="I69"/>
      <c r="J69"/>
      <c r="K69"/>
    </row>
    <row r="70" spans="1:11" ht="14.5" x14ac:dyDescent="0.35">
      <c r="A70"/>
      <c r="B70"/>
      <c r="C70"/>
      <c r="D70"/>
      <c r="E70"/>
      <c r="F70"/>
      <c r="G70"/>
      <c r="H70"/>
      <c r="I70"/>
      <c r="J70"/>
      <c r="K70"/>
    </row>
    <row r="71" spans="1:11" ht="101" x14ac:dyDescent="0.35">
      <c r="A71" s="344" t="s">
        <v>454</v>
      </c>
      <c r="B71"/>
      <c r="C71" s="186" t="s">
        <v>374</v>
      </c>
      <c r="D71" s="186" t="s">
        <v>375</v>
      </c>
      <c r="E71" s="186" t="s">
        <v>376</v>
      </c>
      <c r="F71" s="186" t="s">
        <v>377</v>
      </c>
      <c r="G71" s="347" t="s">
        <v>378</v>
      </c>
      <c r="H71" s="347" t="s">
        <v>379</v>
      </c>
      <c r="I71"/>
      <c r="J71"/>
      <c r="K71"/>
    </row>
    <row r="72" spans="1:11" ht="14.5" x14ac:dyDescent="0.35">
      <c r="A72" s="301" t="s">
        <v>374</v>
      </c>
      <c r="B72" s="139" t="s">
        <v>77</v>
      </c>
      <c r="C72" s="345">
        <v>8</v>
      </c>
      <c r="D72" s="345">
        <v>4</v>
      </c>
      <c r="E72" s="345">
        <v>2</v>
      </c>
      <c r="F72" s="345">
        <v>2</v>
      </c>
      <c r="G72" s="345">
        <v>60</v>
      </c>
      <c r="H72" s="345">
        <v>20</v>
      </c>
      <c r="I72"/>
      <c r="J72"/>
      <c r="K72"/>
    </row>
    <row r="73" spans="1:11" ht="14.5" x14ac:dyDescent="0.35">
      <c r="A73" s="188" t="s">
        <v>375</v>
      </c>
      <c r="B73" s="139" t="s">
        <v>389</v>
      </c>
      <c r="C73" s="345">
        <v>8</v>
      </c>
      <c r="D73" s="345">
        <v>4</v>
      </c>
      <c r="E73" s="345">
        <v>2</v>
      </c>
      <c r="F73" s="345">
        <v>2</v>
      </c>
      <c r="G73" s="345">
        <v>60</v>
      </c>
      <c r="H73" s="345">
        <v>20</v>
      </c>
      <c r="I73"/>
      <c r="J73"/>
      <c r="K73"/>
    </row>
    <row r="74" spans="1:11" ht="14.5" x14ac:dyDescent="0.35">
      <c r="A74" s="301" t="s">
        <v>376</v>
      </c>
      <c r="B74" s="139" t="s">
        <v>184</v>
      </c>
      <c r="C74" s="345">
        <v>6</v>
      </c>
      <c r="D74" s="345">
        <v>3</v>
      </c>
      <c r="E74" s="345">
        <v>1</v>
      </c>
      <c r="F74" s="345">
        <v>1</v>
      </c>
      <c r="G74" s="345">
        <v>60</v>
      </c>
      <c r="H74" s="345">
        <v>20</v>
      </c>
      <c r="I74"/>
      <c r="J74"/>
      <c r="K74"/>
    </row>
    <row r="75" spans="1:11" ht="14.5" x14ac:dyDescent="0.35">
      <c r="A75" s="301" t="s">
        <v>377</v>
      </c>
      <c r="B75" s="139" t="s">
        <v>183</v>
      </c>
      <c r="C75" s="345">
        <v>6</v>
      </c>
      <c r="D75" s="345">
        <v>3</v>
      </c>
      <c r="E75" s="345">
        <v>1</v>
      </c>
      <c r="F75" s="345">
        <v>1</v>
      </c>
      <c r="G75" s="345">
        <v>50</v>
      </c>
      <c r="H75" s="345">
        <v>20</v>
      </c>
      <c r="I75"/>
      <c r="J75"/>
      <c r="K75"/>
    </row>
    <row r="76" spans="1:11" ht="14.5" x14ac:dyDescent="0.35">
      <c r="A76" s="333" t="s">
        <v>378</v>
      </c>
      <c r="B76" s="139" t="s">
        <v>94</v>
      </c>
      <c r="C76" s="345">
        <v>3</v>
      </c>
      <c r="D76" s="345">
        <v>2</v>
      </c>
      <c r="E76" s="345">
        <v>1</v>
      </c>
      <c r="F76" s="345">
        <v>1</v>
      </c>
      <c r="G76" s="345">
        <v>50</v>
      </c>
      <c r="H76" s="345">
        <v>20</v>
      </c>
      <c r="I76"/>
      <c r="J76"/>
      <c r="K76"/>
    </row>
    <row r="77" spans="1:11" ht="14.5" x14ac:dyDescent="0.35">
      <c r="A77" s="333" t="s">
        <v>379</v>
      </c>
      <c r="B77" s="139" t="s">
        <v>385</v>
      </c>
      <c r="C77" s="345">
        <v>3</v>
      </c>
      <c r="D77" s="345">
        <v>2</v>
      </c>
      <c r="E77" s="345">
        <v>1</v>
      </c>
      <c r="F77" s="345">
        <v>1</v>
      </c>
      <c r="G77" s="345">
        <v>50</v>
      </c>
      <c r="H77" s="345">
        <v>20</v>
      </c>
      <c r="I77"/>
      <c r="J77"/>
      <c r="K77"/>
    </row>
    <row r="78" spans="1:11" ht="14.5" x14ac:dyDescent="0.35">
      <c r="A78"/>
      <c r="B78" s="139" t="s">
        <v>182</v>
      </c>
      <c r="C78" s="345">
        <v>3</v>
      </c>
      <c r="D78" s="345">
        <v>2</v>
      </c>
      <c r="E78" s="345">
        <v>1</v>
      </c>
      <c r="F78" s="345">
        <v>1</v>
      </c>
      <c r="G78" s="345">
        <v>50</v>
      </c>
      <c r="H78" s="345">
        <v>20</v>
      </c>
      <c r="I78"/>
      <c r="J78"/>
      <c r="K78"/>
    </row>
    <row r="79" spans="1:11" ht="14.5" x14ac:dyDescent="0.35">
      <c r="A79"/>
      <c r="B79" s="139" t="s">
        <v>371</v>
      </c>
      <c r="C79" s="345">
        <v>3</v>
      </c>
      <c r="D79" s="345">
        <v>2</v>
      </c>
      <c r="E79" s="345">
        <v>1</v>
      </c>
      <c r="F79" s="345">
        <v>1</v>
      </c>
      <c r="G79" s="345">
        <v>50</v>
      </c>
      <c r="H79" s="345">
        <v>20</v>
      </c>
      <c r="I79"/>
      <c r="J79"/>
      <c r="K79"/>
    </row>
    <row r="80" spans="1:11" ht="14.5" x14ac:dyDescent="0.35">
      <c r="A80"/>
      <c r="B80" s="139" t="s">
        <v>181</v>
      </c>
      <c r="C80" s="345">
        <v>3</v>
      </c>
      <c r="D80" s="345">
        <v>2</v>
      </c>
      <c r="E80" s="345">
        <v>1</v>
      </c>
      <c r="F80" s="345">
        <v>1</v>
      </c>
      <c r="G80" s="345">
        <v>50</v>
      </c>
      <c r="H80" s="345">
        <v>20</v>
      </c>
      <c r="I80"/>
      <c r="J80"/>
      <c r="K80"/>
    </row>
    <row r="81" spans="1:11" ht="14.5" x14ac:dyDescent="0.35">
      <c r="A81"/>
      <c r="B81" s="139" t="s">
        <v>86</v>
      </c>
      <c r="C81" s="345">
        <v>2</v>
      </c>
      <c r="D81" s="345">
        <v>1</v>
      </c>
      <c r="E81" s="345" t="s">
        <v>128</v>
      </c>
      <c r="F81" s="345" t="s">
        <v>128</v>
      </c>
      <c r="G81" s="345">
        <v>25</v>
      </c>
      <c r="H81" s="345">
        <v>10</v>
      </c>
      <c r="I81"/>
      <c r="J81"/>
      <c r="K81"/>
    </row>
    <row r="82" spans="1:11" ht="14.5" x14ac:dyDescent="0.35">
      <c r="A82"/>
      <c r="B82" s="139" t="s">
        <v>372</v>
      </c>
      <c r="C82" s="345">
        <v>1</v>
      </c>
      <c r="D82" s="345">
        <v>1</v>
      </c>
      <c r="E82" s="345" t="s">
        <v>128</v>
      </c>
      <c r="F82" s="345" t="s">
        <v>128</v>
      </c>
      <c r="G82" s="345">
        <v>15</v>
      </c>
      <c r="H82" s="345">
        <v>7</v>
      </c>
      <c r="I82"/>
      <c r="J82"/>
      <c r="K82"/>
    </row>
    <row r="83" spans="1:11" ht="14.5" x14ac:dyDescent="0.35">
      <c r="A83"/>
      <c r="B83" s="139" t="s">
        <v>88</v>
      </c>
      <c r="C83" s="346">
        <v>1</v>
      </c>
      <c r="D83" s="346">
        <v>1</v>
      </c>
      <c r="E83" s="345" t="s">
        <v>128</v>
      </c>
      <c r="F83" s="345" t="s">
        <v>128</v>
      </c>
      <c r="G83" s="346">
        <v>15</v>
      </c>
      <c r="H83" s="346">
        <v>6</v>
      </c>
      <c r="I83"/>
      <c r="J83"/>
      <c r="K83"/>
    </row>
    <row r="84" spans="1:11" ht="14.5" x14ac:dyDescent="0.35">
      <c r="A84"/>
      <c r="B84" s="139" t="s">
        <v>423</v>
      </c>
      <c r="C84" s="345">
        <v>1</v>
      </c>
      <c r="D84" s="345">
        <v>1</v>
      </c>
      <c r="E84" s="345" t="s">
        <v>128</v>
      </c>
      <c r="F84" s="345" t="s">
        <v>128</v>
      </c>
      <c r="G84" s="345">
        <v>15</v>
      </c>
      <c r="H84" s="345">
        <v>5</v>
      </c>
      <c r="I84"/>
      <c r="J84"/>
      <c r="K84"/>
    </row>
    <row r="85" spans="1:11" ht="14.5" x14ac:dyDescent="0.35">
      <c r="A85"/>
      <c r="B85"/>
      <c r="C85"/>
      <c r="D85"/>
      <c r="E85"/>
      <c r="F85"/>
      <c r="G85"/>
      <c r="H85"/>
      <c r="I85"/>
      <c r="J85"/>
      <c r="K85"/>
    </row>
    <row r="86" spans="1:11" ht="14.5" x14ac:dyDescent="0.35">
      <c r="A86" s="344" t="s">
        <v>455</v>
      </c>
      <c r="B86" s="139" t="s">
        <v>77</v>
      </c>
      <c r="C86" s="345">
        <v>8</v>
      </c>
      <c r="D86"/>
      <c r="E86"/>
      <c r="F86"/>
      <c r="G86"/>
      <c r="H86"/>
      <c r="I86"/>
      <c r="J86"/>
      <c r="K86"/>
    </row>
    <row r="87" spans="1:11" ht="14.5" x14ac:dyDescent="0.35">
      <c r="A87"/>
      <c r="B87" s="139" t="s">
        <v>389</v>
      </c>
      <c r="C87" s="345">
        <v>8</v>
      </c>
      <c r="D87"/>
      <c r="E87"/>
      <c r="F87"/>
      <c r="G87"/>
      <c r="H87"/>
      <c r="I87"/>
      <c r="J87"/>
      <c r="K87"/>
    </row>
    <row r="88" spans="1:11" ht="14.5" x14ac:dyDescent="0.35">
      <c r="A88"/>
      <c r="B88" s="139" t="s">
        <v>184</v>
      </c>
      <c r="C88" s="345">
        <v>8</v>
      </c>
      <c r="D88"/>
      <c r="E88"/>
      <c r="F88"/>
      <c r="G88"/>
      <c r="H88"/>
      <c r="I88"/>
      <c r="J88"/>
      <c r="K88"/>
    </row>
    <row r="89" spans="1:11" ht="14.5" x14ac:dyDescent="0.35">
      <c r="A89"/>
      <c r="B89" s="139" t="s">
        <v>183</v>
      </c>
      <c r="C89" s="345">
        <v>8</v>
      </c>
      <c r="D89"/>
      <c r="E89"/>
      <c r="F89"/>
      <c r="G89"/>
      <c r="H89"/>
      <c r="I89"/>
      <c r="J89"/>
      <c r="K89"/>
    </row>
    <row r="90" spans="1:11" ht="14.5" x14ac:dyDescent="0.35">
      <c r="A90"/>
      <c r="B90" s="139" t="s">
        <v>94</v>
      </c>
      <c r="C90" s="345">
        <v>6</v>
      </c>
      <c r="D90"/>
      <c r="E90"/>
      <c r="F90"/>
      <c r="G90"/>
      <c r="H90"/>
      <c r="I90"/>
      <c r="J90"/>
      <c r="K90"/>
    </row>
    <row r="91" spans="1:11" ht="14.5" x14ac:dyDescent="0.35">
      <c r="A91"/>
      <c r="B91" s="139" t="s">
        <v>385</v>
      </c>
      <c r="C91" s="345">
        <v>6</v>
      </c>
      <c r="D91"/>
      <c r="E91"/>
      <c r="F91"/>
      <c r="G91"/>
      <c r="H91"/>
      <c r="I91"/>
      <c r="J91"/>
      <c r="K91"/>
    </row>
    <row r="92" spans="1:11" ht="14.5" x14ac:dyDescent="0.35">
      <c r="A92"/>
      <c r="B92" s="139" t="s">
        <v>182</v>
      </c>
      <c r="C92" s="345">
        <v>6</v>
      </c>
      <c r="D92"/>
      <c r="E92"/>
      <c r="F92"/>
      <c r="G92"/>
      <c r="H92"/>
      <c r="I92"/>
      <c r="J92"/>
      <c r="K92"/>
    </row>
    <row r="93" spans="1:11" ht="14.5" x14ac:dyDescent="0.35">
      <c r="A93"/>
      <c r="B93" s="139" t="s">
        <v>371</v>
      </c>
      <c r="C93" s="345">
        <v>5</v>
      </c>
      <c r="D93"/>
      <c r="E93"/>
      <c r="F93"/>
      <c r="G93"/>
      <c r="H93"/>
      <c r="I93"/>
      <c r="J93"/>
      <c r="K93"/>
    </row>
    <row r="94" spans="1:11" ht="14.5" x14ac:dyDescent="0.35">
      <c r="A94"/>
      <c r="B94" s="139" t="s">
        <v>181</v>
      </c>
      <c r="C94" s="345">
        <v>5</v>
      </c>
      <c r="D94"/>
      <c r="E94"/>
      <c r="F94"/>
      <c r="G94"/>
      <c r="H94"/>
      <c r="I94"/>
      <c r="J94"/>
      <c r="K94"/>
    </row>
    <row r="95" spans="1:11" ht="14.5" x14ac:dyDescent="0.35">
      <c r="A95"/>
      <c r="B95" s="139" t="s">
        <v>86</v>
      </c>
      <c r="C95" s="345">
        <v>3</v>
      </c>
      <c r="D95"/>
      <c r="E95"/>
      <c r="F95"/>
      <c r="G95"/>
      <c r="H95"/>
      <c r="I95"/>
      <c r="J95"/>
      <c r="K95"/>
    </row>
    <row r="96" spans="1:11" ht="14.5" x14ac:dyDescent="0.35">
      <c r="A96"/>
      <c r="B96" s="139" t="s">
        <v>372</v>
      </c>
      <c r="C96" s="345" t="s">
        <v>128</v>
      </c>
      <c r="D96"/>
      <c r="E96"/>
      <c r="F96"/>
      <c r="G96"/>
      <c r="H96"/>
      <c r="I96"/>
      <c r="J96"/>
      <c r="K96"/>
    </row>
    <row r="97" spans="1:11" ht="14.5" x14ac:dyDescent="0.35">
      <c r="A97"/>
      <c r="B97" s="139" t="s">
        <v>88</v>
      </c>
      <c r="C97" s="346" t="s">
        <v>128</v>
      </c>
      <c r="D97"/>
      <c r="E97"/>
      <c r="F97"/>
      <c r="G97"/>
      <c r="H97"/>
      <c r="I97"/>
      <c r="J97"/>
      <c r="K97"/>
    </row>
    <row r="98" spans="1:11" ht="14.5" x14ac:dyDescent="0.35">
      <c r="A98"/>
      <c r="B98" s="139" t="s">
        <v>423</v>
      </c>
      <c r="C98" s="345" t="s">
        <v>128</v>
      </c>
      <c r="D98"/>
      <c r="E98"/>
      <c r="F98"/>
      <c r="G98"/>
      <c r="H98"/>
      <c r="I98"/>
      <c r="J98"/>
      <c r="K98"/>
    </row>
    <row r="99" spans="1:11" ht="14.5" x14ac:dyDescent="0.35">
      <c r="A99"/>
      <c r="B99"/>
      <c r="C99"/>
      <c r="D99"/>
      <c r="E99"/>
      <c r="F99"/>
      <c r="G99"/>
      <c r="H99"/>
      <c r="I99"/>
      <c r="J99"/>
      <c r="K99"/>
    </row>
    <row r="100" spans="1:11" ht="14.5" x14ac:dyDescent="0.35">
      <c r="A100" s="344" t="s">
        <v>456</v>
      </c>
      <c r="B100" s="139" t="s">
        <v>77</v>
      </c>
      <c r="C100" s="345">
        <v>18</v>
      </c>
      <c r="D100"/>
      <c r="E100"/>
      <c r="F100"/>
      <c r="G100"/>
      <c r="H100"/>
      <c r="I100"/>
      <c r="J100"/>
      <c r="K100"/>
    </row>
    <row r="101" spans="1:11" ht="14.5" x14ac:dyDescent="0.35">
      <c r="A101"/>
      <c r="B101" s="139" t="s">
        <v>389</v>
      </c>
      <c r="C101" s="345">
        <v>18</v>
      </c>
      <c r="D101"/>
      <c r="E101"/>
      <c r="F101"/>
      <c r="G101"/>
      <c r="H101"/>
      <c r="I101"/>
      <c r="J101"/>
      <c r="K101"/>
    </row>
    <row r="102" spans="1:11" ht="14.5" x14ac:dyDescent="0.35">
      <c r="A102"/>
      <c r="B102" s="139" t="s">
        <v>184</v>
      </c>
      <c r="C102" s="345">
        <v>18</v>
      </c>
      <c r="D102"/>
      <c r="E102"/>
      <c r="F102"/>
      <c r="G102"/>
      <c r="H102"/>
      <c r="I102"/>
      <c r="J102"/>
      <c r="K102"/>
    </row>
    <row r="103" spans="1:11" ht="14.5" x14ac:dyDescent="0.35">
      <c r="A103"/>
      <c r="B103" s="139" t="s">
        <v>183</v>
      </c>
      <c r="C103" s="345">
        <v>18</v>
      </c>
      <c r="D103"/>
      <c r="E103"/>
      <c r="F103"/>
      <c r="G103"/>
      <c r="H103"/>
      <c r="I103"/>
      <c r="J103"/>
      <c r="K103"/>
    </row>
    <row r="104" spans="1:11" ht="14.5" x14ac:dyDescent="0.35">
      <c r="A104"/>
      <c r="B104" s="139" t="s">
        <v>94</v>
      </c>
      <c r="C104" s="345">
        <v>6</v>
      </c>
      <c r="D104"/>
      <c r="E104"/>
      <c r="F104"/>
      <c r="G104"/>
      <c r="H104"/>
      <c r="I104"/>
      <c r="J104"/>
      <c r="K104"/>
    </row>
    <row r="105" spans="1:11" ht="14.5" x14ac:dyDescent="0.35">
      <c r="A105"/>
      <c r="B105" s="139" t="s">
        <v>385</v>
      </c>
      <c r="C105" s="345">
        <v>15</v>
      </c>
      <c r="D105"/>
      <c r="E105"/>
      <c r="F105"/>
      <c r="G105"/>
      <c r="H105"/>
      <c r="I105"/>
      <c r="J105"/>
      <c r="K105"/>
    </row>
    <row r="106" spans="1:11" ht="14.5" x14ac:dyDescent="0.35">
      <c r="A106"/>
      <c r="B106" s="139" t="s">
        <v>182</v>
      </c>
      <c r="C106" s="345">
        <v>15</v>
      </c>
      <c r="D106"/>
      <c r="E106"/>
      <c r="F106"/>
      <c r="G106"/>
      <c r="H106"/>
      <c r="I106"/>
      <c r="J106"/>
      <c r="K106"/>
    </row>
    <row r="107" spans="1:11" ht="14.5" x14ac:dyDescent="0.35">
      <c r="A107"/>
      <c r="B107" s="139" t="s">
        <v>371</v>
      </c>
      <c r="C107" s="345">
        <v>3</v>
      </c>
      <c r="D107"/>
      <c r="E107"/>
      <c r="F107"/>
      <c r="G107"/>
      <c r="H107"/>
      <c r="I107"/>
      <c r="J107"/>
      <c r="K107"/>
    </row>
    <row r="108" spans="1:11" ht="14.5" x14ac:dyDescent="0.35">
      <c r="A108"/>
      <c r="B108" s="139" t="s">
        <v>181</v>
      </c>
      <c r="C108" s="345">
        <v>3</v>
      </c>
      <c r="D108"/>
      <c r="E108"/>
      <c r="F108"/>
      <c r="G108"/>
      <c r="H108"/>
      <c r="I108"/>
      <c r="J108"/>
      <c r="K108"/>
    </row>
    <row r="109" spans="1:11" ht="14.5" x14ac:dyDescent="0.35">
      <c r="A109"/>
      <c r="B109" s="139" t="s">
        <v>86</v>
      </c>
      <c r="C109" s="345">
        <v>1</v>
      </c>
      <c r="D109"/>
      <c r="E109"/>
      <c r="F109"/>
      <c r="G109"/>
      <c r="H109"/>
      <c r="I109"/>
      <c r="J109"/>
      <c r="K109"/>
    </row>
    <row r="110" spans="1:11" ht="14.5" x14ac:dyDescent="0.35">
      <c r="A110"/>
      <c r="B110" s="139" t="s">
        <v>372</v>
      </c>
      <c r="C110" s="345" t="s">
        <v>128</v>
      </c>
      <c r="D110"/>
      <c r="E110"/>
      <c r="F110"/>
      <c r="G110"/>
      <c r="H110"/>
      <c r="I110"/>
      <c r="J110"/>
      <c r="K110"/>
    </row>
    <row r="111" spans="1:11" ht="14.5" x14ac:dyDescent="0.35">
      <c r="A111"/>
      <c r="B111" s="139" t="s">
        <v>88</v>
      </c>
      <c r="C111" s="346" t="s">
        <v>128</v>
      </c>
      <c r="D111"/>
      <c r="E111"/>
      <c r="F111"/>
      <c r="G111"/>
      <c r="H111"/>
      <c r="I111"/>
      <c r="J111"/>
      <c r="K111"/>
    </row>
    <row r="112" spans="1:11" ht="14.5" x14ac:dyDescent="0.35">
      <c r="A112"/>
      <c r="B112" s="139" t="s">
        <v>423</v>
      </c>
      <c r="C112" s="345"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A6" sqref="A6:XFD6"/>
    </sheetView>
  </sheetViews>
  <sheetFormatPr defaultColWidth="9.1796875" defaultRowHeight="74.25" customHeight="1" x14ac:dyDescent="0.35"/>
  <cols>
    <col min="1" max="1" width="112" style="41" customWidth="1"/>
    <col min="2" max="16384" width="9.1796875" style="41"/>
  </cols>
  <sheetData>
    <row r="1" spans="1:2" ht="49.5" customHeight="1" x14ac:dyDescent="0.35">
      <c r="A1" s="452" t="s">
        <v>43</v>
      </c>
    </row>
    <row r="2" spans="1:2" ht="93" x14ac:dyDescent="0.35">
      <c r="A2" s="453" t="s">
        <v>445</v>
      </c>
    </row>
    <row r="3" spans="1:2" ht="84.75" customHeight="1" x14ac:dyDescent="0.35">
      <c r="A3" s="453" t="s">
        <v>474</v>
      </c>
      <c r="B3" s="451"/>
    </row>
    <row r="4" spans="1:2" ht="55.5" customHeight="1" x14ac:dyDescent="0.35">
      <c r="A4" s="562" t="s">
        <v>477</v>
      </c>
    </row>
    <row r="5" spans="1:2" ht="59.25" customHeight="1" x14ac:dyDescent="0.35">
      <c r="A5" s="562" t="s">
        <v>478</v>
      </c>
    </row>
    <row r="6" spans="1:2" ht="74.25" customHeight="1" x14ac:dyDescent="0.35">
      <c r="A6" s="453" t="s">
        <v>443</v>
      </c>
    </row>
    <row r="7" spans="1:2" ht="90" customHeight="1" x14ac:dyDescent="0.35">
      <c r="A7" s="562" t="s">
        <v>475</v>
      </c>
    </row>
    <row r="8" spans="1:2" ht="86.25" customHeight="1" x14ac:dyDescent="0.35">
      <c r="A8" s="562" t="s">
        <v>476</v>
      </c>
    </row>
    <row r="9" spans="1:2" ht="72" customHeight="1" x14ac:dyDescent="0.35">
      <c r="A9" s="453" t="s">
        <v>444</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73" t="s">
        <v>457</v>
      </c>
      <c r="B1" s="573"/>
      <c r="C1" s="203"/>
    </row>
    <row r="2" spans="1:3" ht="165" customHeight="1" x14ac:dyDescent="0.35">
      <c r="A2" s="573" t="s">
        <v>460</v>
      </c>
      <c r="B2" s="573"/>
    </row>
    <row r="3" spans="1:3" ht="129.75" customHeight="1" x14ac:dyDescent="0.35">
      <c r="A3" s="575" t="s">
        <v>458</v>
      </c>
      <c r="B3" s="575"/>
    </row>
    <row r="4" spans="1:3" ht="155.25" customHeight="1" x14ac:dyDescent="0.35">
      <c r="A4" s="575" t="s">
        <v>462</v>
      </c>
      <c r="B4" s="575"/>
    </row>
    <row r="5" spans="1:3" ht="137.25" customHeight="1" x14ac:dyDescent="0.35">
      <c r="A5" s="574" t="s">
        <v>465</v>
      </c>
      <c r="B5" s="574"/>
    </row>
    <row r="6" spans="1:3" ht="87" customHeight="1" x14ac:dyDescent="0.35">
      <c r="A6" s="574" t="s">
        <v>459</v>
      </c>
      <c r="B6" s="574"/>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C6" sqref="C6"/>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2" t="s">
        <v>412</v>
      </c>
    </row>
    <row r="2" spans="1:17" s="1" customFormat="1" x14ac:dyDescent="0.35">
      <c r="A2" s="38" t="s">
        <v>31</v>
      </c>
      <c r="B2" s="38"/>
      <c r="C2" s="237"/>
      <c r="E2" s="407" t="str">
        <f>ship_type</f>
        <v>SSBN/SSGN</v>
      </c>
      <c r="F2" s="38"/>
      <c r="G2" s="38"/>
      <c r="H2" s="38"/>
    </row>
    <row r="3" spans="1:17" s="1" customFormat="1" x14ac:dyDescent="0.35">
      <c r="A3" s="233"/>
      <c r="B3" s="233"/>
      <c r="C3" s="237"/>
      <c r="D3" s="408" t="s">
        <v>424</v>
      </c>
      <c r="E3" s="233"/>
      <c r="F3" s="233"/>
      <c r="G3" s="233"/>
      <c r="H3" s="233"/>
    </row>
    <row r="4" spans="1:17" s="5" customFormat="1" ht="19.5" customHeight="1" x14ac:dyDescent="0.35">
      <c r="A4" s="53" t="s">
        <v>44</v>
      </c>
      <c r="B4" s="51"/>
      <c r="C4" s="52"/>
      <c r="D4" s="40"/>
    </row>
    <row r="5" spans="1:17" s="5" customFormat="1" ht="36.75" customHeight="1" x14ac:dyDescent="0.35">
      <c r="A5" s="576" t="s">
        <v>484</v>
      </c>
      <c r="B5" s="576"/>
      <c r="C5" s="215"/>
      <c r="D5" s="228"/>
    </row>
    <row r="6" spans="1:17" s="5" customFormat="1" ht="36.75" customHeight="1" x14ac:dyDescent="0.35">
      <c r="A6" s="576" t="s">
        <v>485</v>
      </c>
      <c r="B6" s="576"/>
      <c r="C6" s="215"/>
      <c r="D6" s="228"/>
    </row>
    <row r="7" spans="1:17" ht="16.5" hidden="1" thickTop="1" thickBot="1" x14ac:dyDescent="0.4">
      <c r="A7" s="213"/>
      <c r="B7" s="125" t="s">
        <v>219</v>
      </c>
      <c r="C7" s="126"/>
      <c r="D7" s="132" t="s">
        <v>25</v>
      </c>
      <c r="E7" s="132"/>
      <c r="F7" s="132"/>
      <c r="G7" s="132"/>
      <c r="H7" s="126"/>
    </row>
    <row r="8" spans="1:17" s="18" customFormat="1" ht="16.5" hidden="1" customHeight="1" thickTop="1" x14ac:dyDescent="0.35">
      <c r="A8" s="133" t="s">
        <v>109</v>
      </c>
      <c r="B8" s="385"/>
      <c r="C8" s="119"/>
      <c r="D8" s="119"/>
      <c r="E8" s="121"/>
      <c r="F8" s="121"/>
      <c r="G8" s="121"/>
      <c r="H8" s="121"/>
      <c r="J8" s="78"/>
      <c r="K8" s="78"/>
      <c r="L8" s="78"/>
      <c r="M8" s="78"/>
      <c r="N8" s="78"/>
      <c r="O8" s="78"/>
      <c r="P8" s="78"/>
      <c r="Q8" s="78"/>
    </row>
    <row r="9" spans="1:17" s="18" customFormat="1" ht="16.5" hidden="1" customHeight="1" x14ac:dyDescent="0.35">
      <c r="A9" s="149" t="s">
        <v>113</v>
      </c>
      <c r="B9" s="386"/>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7"/>
      <c r="C25" s="241"/>
      <c r="D25" s="239"/>
      <c r="E25" s="121"/>
      <c r="F25" s="121"/>
      <c r="G25" s="121"/>
      <c r="H25" s="121"/>
      <c r="J25" s="78"/>
      <c r="K25" s="78"/>
      <c r="L25" s="78"/>
      <c r="M25" s="78"/>
      <c r="N25" s="78"/>
      <c r="O25" s="78"/>
      <c r="P25" s="78"/>
      <c r="Q25" s="78"/>
    </row>
    <row r="26" spans="1:17" s="18" customFormat="1" ht="17.149999999999999" hidden="1" customHeight="1" x14ac:dyDescent="0.35">
      <c r="A26" s="128" t="s">
        <v>446</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447</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448</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449</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450</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219</v>
      </c>
      <c r="C37" s="126"/>
      <c r="D37" s="132" t="s">
        <v>25</v>
      </c>
      <c r="E37" s="132"/>
      <c r="F37" s="132"/>
      <c r="G37" s="132"/>
      <c r="H37" s="126"/>
    </row>
    <row r="38" spans="1:17" s="18" customFormat="1" ht="16.5" hidden="1" customHeight="1" thickTop="1" x14ac:dyDescent="0.35">
      <c r="A38" s="133" t="s">
        <v>120</v>
      </c>
      <c r="B38" s="385"/>
      <c r="C38" s="119"/>
      <c r="D38" s="119"/>
      <c r="E38" s="121"/>
      <c r="F38" s="121"/>
      <c r="G38" s="121"/>
      <c r="H38" s="121"/>
      <c r="J38" s="78"/>
      <c r="K38" s="78"/>
      <c r="L38" s="78"/>
      <c r="M38" s="78"/>
      <c r="N38" s="78"/>
      <c r="O38" s="78"/>
      <c r="P38" s="78"/>
      <c r="Q38" s="78"/>
    </row>
    <row r="39" spans="1:17" s="18" customFormat="1" ht="16.5" hidden="1" customHeight="1" x14ac:dyDescent="0.35">
      <c r="A39" s="149" t="s">
        <v>113</v>
      </c>
      <c r="B39" s="386"/>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7"/>
      <c r="C53" s="119"/>
      <c r="D53" s="239"/>
      <c r="E53" s="121"/>
      <c r="F53" s="121"/>
      <c r="G53" s="121"/>
      <c r="H53" s="121"/>
      <c r="J53" s="78"/>
      <c r="K53" s="78"/>
      <c r="L53" s="78"/>
      <c r="M53" s="78"/>
      <c r="N53" s="78"/>
      <c r="O53" s="78"/>
      <c r="P53" s="78"/>
      <c r="Q53" s="78"/>
    </row>
    <row r="54" spans="1:17" s="18" customFormat="1" ht="17.149999999999999" hidden="1" customHeight="1" x14ac:dyDescent="0.35">
      <c r="A54" s="128" t="s">
        <v>446</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451</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448</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449</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450</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219</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5"/>
      <c r="C68" s="238"/>
      <c r="D68" s="238"/>
      <c r="E68" s="80"/>
      <c r="F68" s="80"/>
      <c r="G68" s="80"/>
      <c r="H68" s="79"/>
      <c r="J68" s="78"/>
      <c r="K68" s="78"/>
      <c r="L68" s="78"/>
      <c r="M68" s="78"/>
      <c r="N68" s="78"/>
      <c r="O68" s="78"/>
      <c r="P68" s="78"/>
      <c r="Q68" s="78"/>
    </row>
    <row r="69" spans="1:17" s="18" customFormat="1" ht="17.25" hidden="1" customHeight="1" x14ac:dyDescent="0.35">
      <c r="A69" s="149" t="s">
        <v>113</v>
      </c>
      <c r="B69" s="387"/>
      <c r="C69" s="238"/>
      <c r="D69" s="238"/>
      <c r="E69" s="80"/>
      <c r="F69" s="80"/>
      <c r="G69" s="80"/>
      <c r="H69" s="79"/>
      <c r="J69" s="78"/>
      <c r="K69" s="78"/>
      <c r="L69" s="78"/>
      <c r="M69" s="78"/>
      <c r="N69" s="78"/>
      <c r="O69" s="78"/>
      <c r="P69" s="78"/>
      <c r="Q69" s="78"/>
    </row>
    <row r="70" spans="1:17" s="18" customFormat="1" hidden="1" x14ac:dyDescent="0.35">
      <c r="A70" s="128" t="s">
        <v>220</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7"/>
      <c r="C78" s="238"/>
      <c r="D78" s="239"/>
      <c r="E78" s="80"/>
      <c r="F78" s="80"/>
      <c r="G78" s="80"/>
      <c r="H78" s="79"/>
      <c r="J78" s="78"/>
      <c r="K78" s="78"/>
      <c r="L78" s="78"/>
      <c r="M78" s="78"/>
      <c r="N78" s="78"/>
      <c r="O78" s="78"/>
      <c r="P78" s="78"/>
      <c r="Q78" s="78"/>
    </row>
    <row r="79" spans="1:17" s="18" customFormat="1" hidden="1" x14ac:dyDescent="0.35">
      <c r="A79" s="128" t="s">
        <v>446</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451</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448</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449</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450</v>
      </c>
      <c r="B85" s="339"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219</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5"/>
      <c r="C93" s="238"/>
      <c r="D93" s="238"/>
      <c r="E93" s="80"/>
      <c r="F93" s="80"/>
      <c r="G93" s="80"/>
      <c r="H93" s="79"/>
      <c r="J93" s="78"/>
      <c r="K93" s="78"/>
      <c r="L93" s="78"/>
      <c r="M93" s="78"/>
      <c r="N93" s="78"/>
      <c r="O93" s="78"/>
      <c r="P93" s="78"/>
      <c r="Q93" s="78"/>
    </row>
    <row r="94" spans="1:17" s="18" customFormat="1" ht="18" hidden="1" customHeight="1" x14ac:dyDescent="0.35">
      <c r="A94" s="149" t="s">
        <v>113</v>
      </c>
      <c r="B94" s="387"/>
      <c r="C94" s="238"/>
      <c r="D94" s="238"/>
      <c r="E94" s="80"/>
      <c r="F94" s="80"/>
      <c r="G94" s="80"/>
      <c r="H94" s="79"/>
      <c r="J94" s="78"/>
      <c r="K94" s="78"/>
      <c r="L94" s="78"/>
      <c r="M94" s="78"/>
      <c r="N94" s="78"/>
      <c r="O94" s="78"/>
      <c r="P94" s="78"/>
      <c r="Q94" s="78"/>
    </row>
    <row r="95" spans="1:17" s="18" customFormat="1" hidden="1" x14ac:dyDescent="0.35">
      <c r="A95" s="128" t="s">
        <v>220</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7"/>
      <c r="C101" s="238"/>
      <c r="D101" s="239">
        <f t="shared" si="3"/>
        <v>0</v>
      </c>
      <c r="E101" s="80"/>
      <c r="F101" s="80"/>
      <c r="G101" s="80"/>
      <c r="H101" s="79"/>
      <c r="J101" s="78"/>
      <c r="K101" s="78"/>
      <c r="L101" s="78"/>
      <c r="M101" s="78"/>
      <c r="N101" s="78"/>
      <c r="O101" s="78"/>
      <c r="P101" s="78"/>
      <c r="Q101" s="78"/>
    </row>
    <row r="102" spans="1:17" s="18" customFormat="1" hidden="1" x14ac:dyDescent="0.35">
      <c r="A102" s="128" t="s">
        <v>446</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451</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448</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449</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450</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hidden="1" thickBot="1" x14ac:dyDescent="0.4">
      <c r="A112" s="80"/>
      <c r="B112" s="80"/>
      <c r="C112" s="238"/>
      <c r="D112" s="238"/>
      <c r="E112" s="80"/>
      <c r="F112" s="80"/>
      <c r="G112" s="80"/>
      <c r="H112" s="79"/>
      <c r="J112" s="78"/>
      <c r="K112" s="78"/>
      <c r="L112" s="78"/>
      <c r="M112" s="78"/>
      <c r="N112" s="78"/>
      <c r="O112" s="78"/>
      <c r="P112" s="78"/>
      <c r="Q112" s="78"/>
    </row>
    <row r="113" spans="1:17" s="18" customFormat="1" ht="16.5" hidden="1" thickTop="1" thickBot="1" x14ac:dyDescent="0.4">
      <c r="A113" s="213"/>
      <c r="B113" s="125" t="s">
        <v>219</v>
      </c>
      <c r="C113" s="126"/>
      <c r="D113" s="132" t="s">
        <v>25</v>
      </c>
      <c r="E113" s="80"/>
      <c r="F113" s="80"/>
      <c r="G113" s="80"/>
      <c r="H113" s="79"/>
      <c r="J113" s="78"/>
      <c r="K113" s="78"/>
      <c r="L113" s="78"/>
      <c r="M113" s="78"/>
      <c r="N113" s="78"/>
      <c r="O113" s="78"/>
      <c r="P113" s="78"/>
      <c r="Q113" s="78"/>
    </row>
    <row r="114" spans="1:17" s="18" customFormat="1" ht="16" hidden="1" thickTop="1" x14ac:dyDescent="0.35">
      <c r="A114" s="133" t="s">
        <v>93</v>
      </c>
      <c r="B114" s="385"/>
      <c r="C114" s="238"/>
      <c r="D114" s="238"/>
      <c r="E114" s="80"/>
      <c r="F114" s="80"/>
      <c r="G114" s="80"/>
      <c r="H114" s="79"/>
      <c r="J114" s="78"/>
      <c r="K114" s="78"/>
      <c r="L114" s="78"/>
      <c r="M114" s="78"/>
      <c r="N114" s="78"/>
      <c r="O114" s="78"/>
      <c r="P114" s="78"/>
      <c r="Q114" s="78"/>
    </row>
    <row r="115" spans="1:17" s="18" customFormat="1" hidden="1" x14ac:dyDescent="0.35">
      <c r="A115" s="149" t="s">
        <v>113</v>
      </c>
      <c r="B115" s="387"/>
      <c r="C115" s="238"/>
      <c r="D115" s="238"/>
      <c r="E115" s="80"/>
      <c r="F115" s="80"/>
      <c r="G115" s="80"/>
      <c r="H115" s="79"/>
      <c r="J115" s="78"/>
      <c r="K115" s="78"/>
      <c r="L115" s="78"/>
      <c r="M115" s="78"/>
      <c r="N115" s="78"/>
      <c r="O115" s="78"/>
      <c r="P115" s="78"/>
      <c r="Q115" s="78"/>
    </row>
    <row r="116" spans="1:17" s="18" customFormat="1" hidden="1" x14ac:dyDescent="0.35">
      <c r="A116" s="128" t="s">
        <v>123</v>
      </c>
      <c r="B116" s="265" t="b">
        <v>0</v>
      </c>
      <c r="C116" s="238"/>
      <c r="D116" s="239">
        <f t="shared" ref="D116:D128" si="4">IF(B116,C116,0)</f>
        <v>0</v>
      </c>
      <c r="E116" s="80"/>
      <c r="F116" s="80"/>
      <c r="G116" s="80"/>
      <c r="H116" s="79"/>
      <c r="J116" s="78"/>
      <c r="K116" s="78"/>
      <c r="L116" s="78"/>
      <c r="M116" s="78"/>
      <c r="N116" s="78"/>
      <c r="O116" s="78"/>
      <c r="P116" s="78"/>
      <c r="Q116" s="78"/>
    </row>
    <row r="117" spans="1:17" s="18" customFormat="1" hidden="1" x14ac:dyDescent="0.35">
      <c r="A117" s="128" t="s">
        <v>122</v>
      </c>
      <c r="B117" s="265" t="b">
        <v>0</v>
      </c>
      <c r="C117" s="238"/>
      <c r="D117" s="239">
        <f t="shared" si="4"/>
        <v>0</v>
      </c>
      <c r="E117" s="80"/>
      <c r="F117" s="80"/>
      <c r="G117" s="80"/>
      <c r="H117" s="79"/>
      <c r="J117" s="78"/>
      <c r="K117" s="78"/>
      <c r="L117" s="78"/>
      <c r="M117" s="78"/>
      <c r="N117" s="78"/>
      <c r="O117" s="78"/>
      <c r="P117" s="78"/>
      <c r="Q117" s="78"/>
    </row>
    <row r="118" spans="1:17" s="18" customFormat="1" hidden="1" x14ac:dyDescent="0.35">
      <c r="A118" s="128" t="s">
        <v>119</v>
      </c>
      <c r="B118" s="265" t="b">
        <v>0</v>
      </c>
      <c r="C118" s="238"/>
      <c r="D118" s="239">
        <f t="shared" si="4"/>
        <v>0</v>
      </c>
      <c r="E118" s="80"/>
      <c r="F118" s="80"/>
      <c r="G118" s="80"/>
      <c r="H118" s="79"/>
      <c r="J118" s="78"/>
      <c r="K118" s="78"/>
      <c r="L118" s="78"/>
      <c r="M118" s="78"/>
      <c r="N118" s="78"/>
      <c r="O118" s="78"/>
      <c r="P118" s="78"/>
      <c r="Q118" s="78"/>
    </row>
    <row r="119" spans="1:17" s="18" customFormat="1" hidden="1" x14ac:dyDescent="0.35">
      <c r="A119" s="128" t="s">
        <v>118</v>
      </c>
      <c r="B119" s="265" t="b">
        <v>0</v>
      </c>
      <c r="C119" s="238"/>
      <c r="D119" s="239">
        <f t="shared" si="4"/>
        <v>0</v>
      </c>
      <c r="E119" s="80"/>
      <c r="F119" s="80"/>
      <c r="G119" s="80"/>
      <c r="H119" s="79"/>
      <c r="J119" s="78"/>
      <c r="K119" s="78"/>
      <c r="L119" s="78"/>
      <c r="M119" s="78"/>
      <c r="N119" s="78"/>
      <c r="O119" s="78"/>
      <c r="P119" s="78"/>
      <c r="Q119" s="78"/>
    </row>
    <row r="120" spans="1:17" s="18" customFormat="1" ht="17.149999999999999" hidden="1" customHeight="1" x14ac:dyDescent="0.35">
      <c r="A120" s="128" t="s">
        <v>118</v>
      </c>
      <c r="B120" s="265" t="b">
        <v>0</v>
      </c>
      <c r="C120" s="239"/>
      <c r="D120" s="239">
        <f t="shared" si="4"/>
        <v>0</v>
      </c>
      <c r="E120" s="120"/>
      <c r="F120" s="120"/>
      <c r="G120" s="120"/>
      <c r="H120" s="120"/>
      <c r="J120" s="78"/>
      <c r="K120" s="78"/>
      <c r="L120" s="78"/>
      <c r="M120" s="78"/>
      <c r="N120" s="78"/>
      <c r="O120" s="78"/>
      <c r="P120" s="78"/>
      <c r="Q120" s="78"/>
    </row>
    <row r="121" spans="1:17" s="18" customFormat="1" hidden="1" x14ac:dyDescent="0.35">
      <c r="A121" s="152" t="s">
        <v>114</v>
      </c>
      <c r="B121" s="327"/>
      <c r="C121" s="238"/>
      <c r="D121" s="239"/>
      <c r="E121" s="80"/>
      <c r="F121" s="80"/>
      <c r="G121" s="80"/>
      <c r="H121" s="79"/>
      <c r="J121" s="78"/>
      <c r="K121" s="78"/>
      <c r="L121" s="78"/>
      <c r="M121" s="78"/>
      <c r="N121" s="78"/>
      <c r="O121" s="78"/>
      <c r="P121" s="78"/>
      <c r="Q121" s="78"/>
    </row>
    <row r="122" spans="1:17" s="18" customFormat="1" hidden="1" x14ac:dyDescent="0.35">
      <c r="A122" s="128" t="s">
        <v>446</v>
      </c>
      <c r="B122" s="265" t="b">
        <v>0</v>
      </c>
      <c r="C122" s="238"/>
      <c r="D122" s="239">
        <f t="shared" si="4"/>
        <v>0</v>
      </c>
      <c r="E122" s="80"/>
      <c r="F122" s="80"/>
      <c r="G122" s="80"/>
      <c r="H122" s="79"/>
      <c r="J122" s="78"/>
      <c r="K122" s="78"/>
      <c r="L122" s="78"/>
      <c r="M122" s="78"/>
      <c r="N122" s="78"/>
      <c r="O122" s="78"/>
      <c r="P122" s="78"/>
      <c r="Q122" s="78"/>
    </row>
    <row r="123" spans="1:17" s="18" customFormat="1" hidden="1" x14ac:dyDescent="0.35">
      <c r="A123" s="128" t="s">
        <v>451</v>
      </c>
      <c r="B123" s="265" t="b">
        <v>0</v>
      </c>
      <c r="C123" s="238"/>
      <c r="D123" s="239">
        <f t="shared" si="4"/>
        <v>0</v>
      </c>
      <c r="E123" s="80"/>
      <c r="F123" s="80"/>
      <c r="G123" s="80"/>
      <c r="H123" s="79"/>
      <c r="J123" s="78"/>
      <c r="K123" s="78"/>
      <c r="L123" s="78"/>
      <c r="M123" s="78"/>
      <c r="N123" s="78"/>
      <c r="O123" s="78"/>
      <c r="P123" s="78"/>
      <c r="Q123" s="78"/>
    </row>
    <row r="124" spans="1:17" s="18" customFormat="1" hidden="1" x14ac:dyDescent="0.35">
      <c r="A124" s="128" t="s">
        <v>448</v>
      </c>
      <c r="B124" s="265" t="b">
        <v>0</v>
      </c>
      <c r="C124" s="238"/>
      <c r="D124" s="239">
        <f t="shared" si="4"/>
        <v>0</v>
      </c>
      <c r="E124" s="80"/>
      <c r="F124" s="80"/>
      <c r="G124" s="80"/>
      <c r="H124" s="79"/>
      <c r="J124" s="78"/>
      <c r="K124" s="78"/>
      <c r="L124" s="78"/>
      <c r="M124" s="78"/>
      <c r="N124" s="78"/>
      <c r="O124" s="78"/>
      <c r="P124" s="78"/>
      <c r="Q124" s="78"/>
    </row>
    <row r="125" spans="1:17" s="18" customFormat="1" hidden="1" x14ac:dyDescent="0.35">
      <c r="A125" s="128" t="s">
        <v>449</v>
      </c>
      <c r="B125" s="265" t="b">
        <v>0</v>
      </c>
      <c r="C125" s="238"/>
      <c r="D125" s="239">
        <f t="shared" si="4"/>
        <v>0</v>
      </c>
      <c r="E125" s="80"/>
      <c r="F125" s="80"/>
      <c r="G125" s="80"/>
      <c r="H125" s="79"/>
      <c r="J125" s="78"/>
      <c r="K125" s="78"/>
      <c r="L125" s="78"/>
      <c r="M125" s="78"/>
      <c r="N125" s="78"/>
      <c r="O125" s="78"/>
      <c r="P125" s="78"/>
      <c r="Q125" s="78"/>
    </row>
    <row r="126" spans="1:17" s="18" customFormat="1" hidden="1" x14ac:dyDescent="0.35">
      <c r="A126" s="128" t="s">
        <v>110</v>
      </c>
      <c r="B126" s="265" t="b">
        <v>0</v>
      </c>
      <c r="C126" s="238"/>
      <c r="D126" s="239">
        <f t="shared" si="4"/>
        <v>0</v>
      </c>
      <c r="E126" s="80"/>
      <c r="F126" s="80"/>
      <c r="G126" s="80"/>
      <c r="H126" s="79"/>
      <c r="J126" s="78"/>
      <c r="K126" s="78"/>
      <c r="L126" s="78"/>
      <c r="M126" s="78"/>
      <c r="N126" s="78"/>
      <c r="O126" s="78"/>
      <c r="P126" s="78"/>
      <c r="Q126" s="78"/>
    </row>
    <row r="127" spans="1:17" s="18" customFormat="1" hidden="1" x14ac:dyDescent="0.35">
      <c r="A127" s="128" t="s">
        <v>111</v>
      </c>
      <c r="B127" s="265" t="b">
        <v>0</v>
      </c>
      <c r="C127" s="238"/>
      <c r="D127" s="239">
        <f t="shared" si="4"/>
        <v>0</v>
      </c>
      <c r="E127" s="80"/>
      <c r="F127" s="80"/>
      <c r="G127" s="80"/>
      <c r="H127" s="79"/>
      <c r="J127" s="78"/>
      <c r="K127" s="78"/>
      <c r="L127" s="78"/>
      <c r="M127" s="78"/>
      <c r="N127" s="78"/>
      <c r="O127" s="78"/>
      <c r="P127" s="78"/>
      <c r="Q127" s="78"/>
    </row>
    <row r="128" spans="1:17" s="18" customFormat="1" ht="16" hidden="1" thickBot="1" x14ac:dyDescent="0.4">
      <c r="A128" s="129" t="s">
        <v>450</v>
      </c>
      <c r="B128" s="339" t="b">
        <v>0</v>
      </c>
      <c r="C128" s="238"/>
      <c r="D128" s="239">
        <f t="shared" si="4"/>
        <v>0</v>
      </c>
      <c r="E128" s="80"/>
      <c r="F128" s="80"/>
      <c r="G128" s="80"/>
      <c r="H128" s="79"/>
      <c r="J128" s="78"/>
      <c r="K128" s="78"/>
      <c r="L128" s="78"/>
      <c r="M128" s="78"/>
      <c r="N128" s="78"/>
      <c r="O128" s="78"/>
      <c r="P128" s="78"/>
      <c r="Q128" s="78"/>
    </row>
    <row r="129" spans="1:17" s="18" customFormat="1" ht="16.5" hidden="1" thickTop="1" thickBot="1" x14ac:dyDescent="0.4">
      <c r="A129" s="124"/>
      <c r="B129" s="1"/>
      <c r="C129" s="238"/>
      <c r="D129" s="238"/>
      <c r="E129" s="80"/>
      <c r="F129" s="80"/>
      <c r="G129" s="80"/>
      <c r="H129" s="79"/>
      <c r="J129" s="78"/>
      <c r="K129" s="78"/>
      <c r="L129" s="78"/>
      <c r="M129" s="78"/>
      <c r="N129" s="78"/>
      <c r="O129" s="78"/>
      <c r="P129" s="78"/>
      <c r="Q129" s="78"/>
    </row>
    <row r="130" spans="1:17" s="18" customFormat="1" ht="16" hidden="1" thickBot="1" x14ac:dyDescent="0.4">
      <c r="A130" s="134" t="s">
        <v>27</v>
      </c>
      <c r="B130" s="135">
        <f>IFERROR(D130/C130,0)</f>
        <v>0</v>
      </c>
      <c r="C130" s="238"/>
      <c r="D130" s="238">
        <f>SUM(D116:D128)</f>
        <v>0</v>
      </c>
      <c r="E130" s="80"/>
      <c r="F130" s="80"/>
      <c r="G130" s="80"/>
      <c r="H130" s="79"/>
      <c r="J130" s="78"/>
      <c r="K130" s="78"/>
      <c r="L130" s="78"/>
      <c r="M130" s="78"/>
      <c r="N130" s="78"/>
      <c r="O130" s="78"/>
      <c r="P130" s="78"/>
      <c r="Q130" s="78"/>
    </row>
    <row r="131" spans="1:17" s="18" customFormat="1" ht="16" hidden="1" thickBot="1" x14ac:dyDescent="0.4">
      <c r="A131" s="153"/>
      <c r="B131" s="154"/>
      <c r="C131" s="238"/>
      <c r="D131" s="238"/>
      <c r="E131" s="80"/>
      <c r="F131" s="80"/>
      <c r="G131" s="80"/>
      <c r="H131" s="79"/>
      <c r="J131" s="78"/>
      <c r="K131" s="78"/>
      <c r="L131" s="78"/>
      <c r="M131" s="78"/>
      <c r="N131" s="78"/>
      <c r="O131" s="78"/>
      <c r="P131" s="78"/>
      <c r="Q131" s="78"/>
    </row>
    <row r="132" spans="1:17" s="18" customFormat="1" ht="16.5" hidden="1" thickTop="1" thickBot="1" x14ac:dyDescent="0.4">
      <c r="A132" s="213"/>
      <c r="B132" s="125" t="s">
        <v>219</v>
      </c>
      <c r="C132" s="126"/>
      <c r="D132" s="132" t="s">
        <v>25</v>
      </c>
      <c r="E132" s="80"/>
      <c r="F132" s="80"/>
      <c r="G132" s="80"/>
      <c r="H132" s="79"/>
      <c r="J132" s="78"/>
      <c r="K132" s="78"/>
      <c r="L132" s="78"/>
      <c r="M132" s="78"/>
      <c r="N132" s="78"/>
      <c r="O132" s="78"/>
      <c r="P132" s="78"/>
      <c r="Q132" s="78"/>
    </row>
    <row r="133" spans="1:17" s="18" customFormat="1" ht="16" hidden="1" thickTop="1" x14ac:dyDescent="0.35">
      <c r="A133" s="133" t="s">
        <v>85</v>
      </c>
      <c r="B133" s="385"/>
      <c r="C133" s="238"/>
      <c r="D133" s="238"/>
      <c r="E133" s="80"/>
      <c r="F133" s="80"/>
      <c r="G133" s="80"/>
      <c r="H133" s="79"/>
      <c r="J133" s="78"/>
      <c r="K133" s="78"/>
      <c r="L133" s="78"/>
      <c r="M133" s="78"/>
      <c r="N133" s="78"/>
      <c r="O133" s="78"/>
      <c r="P133" s="78"/>
      <c r="Q133" s="78"/>
    </row>
    <row r="134" spans="1:17" s="18" customFormat="1" ht="17.149999999999999" hidden="1" customHeight="1" x14ac:dyDescent="0.35">
      <c r="A134" s="128" t="s">
        <v>446</v>
      </c>
      <c r="B134" s="265" t="b">
        <v>0</v>
      </c>
      <c r="C134" s="241"/>
      <c r="D134" s="239">
        <f t="shared" ref="D134:D142" si="5">IF(B134,C134,0)</f>
        <v>0</v>
      </c>
      <c r="E134" s="121"/>
      <c r="F134" s="121"/>
      <c r="G134" s="121"/>
      <c r="H134" s="121"/>
      <c r="J134" s="78"/>
      <c r="K134" s="78"/>
      <c r="L134" s="78"/>
      <c r="M134" s="78"/>
      <c r="N134" s="78"/>
      <c r="O134" s="78"/>
      <c r="P134" s="78"/>
      <c r="Q134" s="78"/>
    </row>
    <row r="135" spans="1:17" s="18" customFormat="1" hidden="1" x14ac:dyDescent="0.35">
      <c r="A135" s="127" t="s">
        <v>451</v>
      </c>
      <c r="B135" s="265" t="b">
        <v>0</v>
      </c>
      <c r="C135" s="238"/>
      <c r="D135" s="239">
        <f t="shared" si="5"/>
        <v>0</v>
      </c>
      <c r="E135" s="80"/>
      <c r="F135" s="80"/>
      <c r="G135" s="80"/>
      <c r="H135" s="79"/>
      <c r="J135" s="78"/>
      <c r="K135" s="78"/>
      <c r="L135" s="78"/>
      <c r="M135" s="78"/>
      <c r="N135" s="78"/>
      <c r="O135" s="78"/>
      <c r="P135" s="78"/>
      <c r="Q135" s="78"/>
    </row>
    <row r="136" spans="1:17" s="18" customFormat="1" hidden="1" x14ac:dyDescent="0.35">
      <c r="A136" s="128" t="s">
        <v>448</v>
      </c>
      <c r="B136" s="265" t="b">
        <v>0</v>
      </c>
      <c r="C136" s="238"/>
      <c r="D136" s="239">
        <f t="shared" si="5"/>
        <v>0</v>
      </c>
      <c r="E136" s="80"/>
      <c r="F136" s="80"/>
      <c r="G136" s="80"/>
      <c r="H136" s="79"/>
      <c r="J136" s="78"/>
      <c r="K136" s="78"/>
      <c r="L136" s="78"/>
      <c r="M136" s="78"/>
      <c r="N136" s="78"/>
      <c r="O136" s="78"/>
      <c r="P136" s="78"/>
      <c r="Q136" s="78"/>
    </row>
    <row r="137" spans="1:17" s="18" customFormat="1" hidden="1" x14ac:dyDescent="0.35">
      <c r="A137" s="128" t="s">
        <v>449</v>
      </c>
      <c r="B137" s="265" t="b">
        <v>0</v>
      </c>
      <c r="C137" s="238"/>
      <c r="D137" s="239">
        <f t="shared" si="5"/>
        <v>0</v>
      </c>
      <c r="E137" s="80"/>
      <c r="F137" s="80"/>
      <c r="G137" s="80"/>
      <c r="H137" s="79"/>
      <c r="J137" s="78"/>
      <c r="K137" s="78"/>
      <c r="L137" s="78"/>
      <c r="M137" s="78"/>
      <c r="N137" s="78"/>
      <c r="O137" s="78"/>
      <c r="P137" s="78"/>
      <c r="Q137" s="78"/>
    </row>
    <row r="138" spans="1:17" s="18" customFormat="1" ht="17.149999999999999" hidden="1" customHeight="1" x14ac:dyDescent="0.35">
      <c r="A138" s="128" t="s">
        <v>111</v>
      </c>
      <c r="B138" s="265" t="b">
        <v>0</v>
      </c>
      <c r="C138" s="239"/>
      <c r="D138" s="239">
        <f t="shared" si="5"/>
        <v>0</v>
      </c>
      <c r="E138" s="120"/>
      <c r="F138" s="120"/>
      <c r="G138" s="120"/>
      <c r="H138" s="120"/>
      <c r="J138" s="78"/>
      <c r="K138" s="78"/>
      <c r="L138" s="78"/>
      <c r="M138" s="78"/>
      <c r="N138" s="78"/>
      <c r="O138" s="78"/>
      <c r="P138" s="78"/>
      <c r="Q138" s="78"/>
    </row>
    <row r="139" spans="1:17" s="18" customFormat="1" ht="17.149999999999999" hidden="1" customHeight="1" x14ac:dyDescent="0.35">
      <c r="A139" s="128" t="s">
        <v>450</v>
      </c>
      <c r="B139" s="265" t="b">
        <v>0</v>
      </c>
      <c r="C139" s="239"/>
      <c r="D139" s="239">
        <f t="shared" si="5"/>
        <v>0</v>
      </c>
      <c r="E139" s="120"/>
      <c r="F139" s="120"/>
      <c r="G139" s="120"/>
      <c r="H139" s="120"/>
      <c r="J139" s="78"/>
      <c r="K139" s="78"/>
      <c r="L139" s="78"/>
      <c r="M139" s="78"/>
      <c r="N139" s="78"/>
      <c r="O139" s="78"/>
      <c r="P139" s="78"/>
      <c r="Q139" s="78"/>
    </row>
    <row r="140" spans="1:17" s="18" customFormat="1" hidden="1" x14ac:dyDescent="0.35">
      <c r="A140" s="128" t="s">
        <v>124</v>
      </c>
      <c r="B140" s="265" t="b">
        <v>0</v>
      </c>
      <c r="C140" s="238"/>
      <c r="D140" s="239">
        <f t="shared" si="5"/>
        <v>0</v>
      </c>
      <c r="E140" s="80"/>
      <c r="F140" s="80"/>
      <c r="G140" s="80"/>
      <c r="H140" s="79"/>
      <c r="J140" s="78"/>
      <c r="K140" s="78"/>
      <c r="L140" s="78"/>
      <c r="M140" s="78"/>
      <c r="N140" s="78"/>
      <c r="O140" s="78"/>
      <c r="P140" s="78"/>
      <c r="Q140" s="78"/>
    </row>
    <row r="141" spans="1:17" s="18" customFormat="1" hidden="1" x14ac:dyDescent="0.35">
      <c r="A141" s="128" t="s">
        <v>76</v>
      </c>
      <c r="B141" s="265" t="b">
        <v>0</v>
      </c>
      <c r="C141" s="238"/>
      <c r="D141" s="239">
        <f t="shared" si="5"/>
        <v>0</v>
      </c>
      <c r="E141" s="80"/>
      <c r="F141" s="80"/>
      <c r="G141" s="80"/>
      <c r="H141" s="79"/>
      <c r="J141" s="78"/>
      <c r="K141" s="78"/>
      <c r="L141" s="78"/>
      <c r="M141" s="78"/>
      <c r="N141" s="78"/>
      <c r="O141" s="78"/>
      <c r="P141" s="78"/>
      <c r="Q141" s="78"/>
    </row>
    <row r="142" spans="1:17" s="18" customFormat="1" ht="16" hidden="1" thickBot="1" x14ac:dyDescent="0.4">
      <c r="A142" s="129" t="s">
        <v>76</v>
      </c>
      <c r="B142" s="281" t="b">
        <v>0</v>
      </c>
      <c r="C142" s="238"/>
      <c r="D142" s="239">
        <f t="shared" si="5"/>
        <v>0</v>
      </c>
      <c r="E142" s="80"/>
      <c r="F142" s="80"/>
      <c r="G142" s="80"/>
      <c r="H142" s="79"/>
      <c r="J142" s="78"/>
      <c r="K142" s="78"/>
      <c r="L142" s="78"/>
      <c r="M142" s="78"/>
      <c r="N142" s="78"/>
      <c r="O142" s="78"/>
      <c r="P142" s="78"/>
      <c r="Q142" s="78"/>
    </row>
    <row r="143" spans="1:17" s="18" customFormat="1" ht="16.5" hidden="1" thickTop="1" thickBot="1" x14ac:dyDescent="0.4">
      <c r="A143" s="80"/>
      <c r="B143" s="80"/>
      <c r="C143" s="238"/>
      <c r="D143" s="238"/>
      <c r="E143" s="80"/>
      <c r="F143" s="80"/>
      <c r="G143" s="80"/>
      <c r="H143" s="79"/>
      <c r="J143" s="78"/>
      <c r="K143" s="78"/>
      <c r="L143" s="78"/>
      <c r="M143" s="78"/>
      <c r="N143" s="78"/>
      <c r="O143" s="78"/>
      <c r="P143" s="78"/>
      <c r="Q143" s="78"/>
    </row>
    <row r="144" spans="1:17" s="18" customFormat="1" ht="16" hidden="1" thickBot="1" x14ac:dyDescent="0.4">
      <c r="A144" s="134" t="s">
        <v>27</v>
      </c>
      <c r="B144" s="135">
        <f>IFERROR(D144/C144,0)</f>
        <v>0</v>
      </c>
      <c r="C144" s="238"/>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219</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5"/>
      <c r="C147" s="238"/>
      <c r="D147" s="238"/>
      <c r="E147" s="80"/>
      <c r="F147" s="80"/>
      <c r="G147" s="80"/>
      <c r="H147" s="79"/>
      <c r="J147" s="78"/>
      <c r="K147" s="78"/>
      <c r="L147" s="78"/>
      <c r="M147" s="78"/>
      <c r="N147" s="78"/>
      <c r="O147" s="78"/>
      <c r="P147" s="78"/>
      <c r="Q147" s="78"/>
    </row>
    <row r="148" spans="1:17" s="18" customFormat="1" hidden="1" x14ac:dyDescent="0.35">
      <c r="A148" s="128" t="s">
        <v>446</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451</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448</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449</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450</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thickBot="1" x14ac:dyDescent="0.4">
      <c r="A158" s="80"/>
      <c r="B158" s="80"/>
      <c r="C158" s="238"/>
      <c r="D158" s="238"/>
      <c r="E158" s="80"/>
      <c r="F158" s="80"/>
      <c r="G158" s="80"/>
      <c r="H158" s="79"/>
      <c r="J158" s="78"/>
      <c r="K158" s="78"/>
      <c r="L158" s="78"/>
      <c r="M158" s="78"/>
      <c r="N158" s="78"/>
      <c r="O158" s="78"/>
      <c r="P158" s="78"/>
      <c r="Q158" s="78"/>
    </row>
    <row r="159" spans="1:17" s="18" customFormat="1" ht="16.5" thickTop="1" thickBot="1" x14ac:dyDescent="0.4">
      <c r="A159" s="213"/>
      <c r="B159" s="125" t="s">
        <v>219</v>
      </c>
      <c r="C159" s="126" t="s">
        <v>24</v>
      </c>
      <c r="D159" s="132" t="s">
        <v>25</v>
      </c>
      <c r="E159" s="80"/>
      <c r="F159" s="80"/>
      <c r="G159" s="80"/>
      <c r="H159" s="79"/>
      <c r="J159" s="78"/>
      <c r="K159" s="78"/>
      <c r="L159" s="78"/>
      <c r="M159" s="78"/>
      <c r="N159" s="78"/>
      <c r="O159" s="78"/>
      <c r="P159" s="78"/>
      <c r="Q159" s="78"/>
    </row>
    <row r="160" spans="1:17" s="18" customFormat="1" ht="16" thickTop="1" x14ac:dyDescent="0.35">
      <c r="A160" s="133" t="s">
        <v>87</v>
      </c>
      <c r="B160" s="285"/>
      <c r="C160" s="238"/>
      <c r="D160" s="238"/>
      <c r="E160" s="80"/>
      <c r="F160" s="80"/>
      <c r="G160" s="80"/>
      <c r="H160" s="79"/>
      <c r="J160" s="78"/>
      <c r="K160" s="78"/>
      <c r="L160" s="78"/>
      <c r="M160" s="78"/>
      <c r="N160" s="78"/>
      <c r="O160" s="78"/>
      <c r="P160" s="78"/>
      <c r="Q160" s="78"/>
    </row>
    <row r="161" spans="1:17" s="18" customFormat="1" x14ac:dyDescent="0.35">
      <c r="A161" s="128" t="s">
        <v>446</v>
      </c>
      <c r="B161" s="265" t="b">
        <v>0</v>
      </c>
      <c r="C161" s="238">
        <v>10</v>
      </c>
      <c r="D161" s="239">
        <f t="shared" ref="D161:D163" si="7">IF(B161,C161,0)</f>
        <v>0</v>
      </c>
      <c r="E161" s="80"/>
      <c r="F161" s="80"/>
      <c r="G161" s="80"/>
      <c r="H161" s="79"/>
      <c r="J161" s="78"/>
      <c r="K161" s="78"/>
      <c r="L161" s="78"/>
      <c r="M161" s="78"/>
      <c r="N161" s="78"/>
      <c r="O161" s="78"/>
      <c r="P161" s="78"/>
      <c r="Q161" s="78"/>
    </row>
    <row r="162" spans="1:17" s="18" customFormat="1" x14ac:dyDescent="0.35">
      <c r="A162" s="127" t="s">
        <v>447</v>
      </c>
      <c r="B162" s="265" t="b">
        <v>0</v>
      </c>
      <c r="C162" s="238">
        <v>10</v>
      </c>
      <c r="D162" s="239">
        <f t="shared" si="7"/>
        <v>0</v>
      </c>
      <c r="E162" s="80"/>
      <c r="F162" s="80"/>
      <c r="G162" s="80"/>
      <c r="H162" s="79"/>
      <c r="J162" s="78"/>
      <c r="K162" s="78"/>
      <c r="L162" s="78"/>
      <c r="M162" s="78"/>
      <c r="N162" s="78"/>
      <c r="O162" s="78"/>
      <c r="P162" s="78"/>
      <c r="Q162" s="78"/>
    </row>
    <row r="163" spans="1:17" s="18" customFormat="1" x14ac:dyDescent="0.35">
      <c r="A163" s="127" t="s">
        <v>448</v>
      </c>
      <c r="B163" s="265" t="b">
        <v>0</v>
      </c>
      <c r="C163" s="238">
        <v>8</v>
      </c>
      <c r="D163" s="239">
        <f t="shared" si="7"/>
        <v>0</v>
      </c>
      <c r="E163" s="80"/>
      <c r="F163" s="80"/>
      <c r="G163" s="80"/>
      <c r="H163" s="79"/>
      <c r="J163" s="78"/>
      <c r="K163" s="78"/>
      <c r="L163" s="78"/>
      <c r="M163" s="78"/>
      <c r="N163" s="78"/>
      <c r="O163" s="78"/>
      <c r="P163" s="78"/>
      <c r="Q163" s="78"/>
    </row>
    <row r="164" spans="1:17" s="18" customFormat="1" x14ac:dyDescent="0.35">
      <c r="A164" s="128" t="s">
        <v>449</v>
      </c>
      <c r="B164" s="265" t="s">
        <v>479</v>
      </c>
      <c r="C164" s="238">
        <v>0</v>
      </c>
      <c r="D164" s="239">
        <v>0</v>
      </c>
      <c r="E164" s="80"/>
      <c r="F164" s="80"/>
      <c r="G164" s="80"/>
      <c r="H164" s="79"/>
      <c r="J164" s="78"/>
      <c r="K164" s="78"/>
      <c r="L164" s="78"/>
      <c r="M164" s="78"/>
      <c r="N164" s="78"/>
      <c r="O164" s="78"/>
      <c r="P164" s="78"/>
      <c r="Q164" s="78"/>
    </row>
    <row r="165" spans="1:17" s="18" customFormat="1" x14ac:dyDescent="0.35">
      <c r="A165" s="128" t="s">
        <v>111</v>
      </c>
      <c r="B165" s="265" t="s">
        <v>479</v>
      </c>
      <c r="C165" s="238">
        <v>0</v>
      </c>
      <c r="D165" s="239">
        <v>0</v>
      </c>
      <c r="E165" s="80"/>
      <c r="F165" s="80"/>
      <c r="G165" s="80"/>
      <c r="H165" s="79"/>
      <c r="J165" s="78"/>
      <c r="K165" s="78"/>
      <c r="L165" s="78"/>
      <c r="M165" s="78"/>
      <c r="N165" s="78"/>
      <c r="O165" s="78"/>
      <c r="P165" s="78"/>
      <c r="Q165" s="78"/>
    </row>
    <row r="166" spans="1:17" s="18" customFormat="1" x14ac:dyDescent="0.35">
      <c r="A166" s="128" t="s">
        <v>450</v>
      </c>
      <c r="B166" s="265" t="s">
        <v>479</v>
      </c>
      <c r="C166" s="238">
        <v>0</v>
      </c>
      <c r="D166" s="239">
        <v>0</v>
      </c>
      <c r="E166" s="80"/>
      <c r="F166" s="80"/>
      <c r="G166" s="80"/>
      <c r="H166" s="79"/>
      <c r="J166" s="78"/>
      <c r="K166" s="78"/>
      <c r="L166" s="78"/>
      <c r="M166" s="78"/>
      <c r="N166" s="78"/>
      <c r="O166" s="78"/>
      <c r="P166" s="78"/>
      <c r="Q166" s="78"/>
    </row>
    <row r="167" spans="1:17" s="18" customFormat="1" ht="16" thickBot="1" x14ac:dyDescent="0.4">
      <c r="A167" s="129" t="s">
        <v>124</v>
      </c>
      <c r="B167" s="281" t="s">
        <v>479</v>
      </c>
      <c r="C167" s="238">
        <v>0</v>
      </c>
      <c r="D167" s="239">
        <v>0</v>
      </c>
      <c r="E167" s="80"/>
      <c r="F167" s="80"/>
      <c r="G167" s="80"/>
      <c r="H167" s="79"/>
      <c r="J167" s="78"/>
      <c r="K167" s="78"/>
      <c r="L167" s="78"/>
      <c r="M167" s="78"/>
      <c r="N167" s="78"/>
      <c r="O167" s="78"/>
      <c r="P167" s="78"/>
      <c r="Q167" s="78"/>
    </row>
    <row r="168" spans="1:17" s="18" customFormat="1" ht="16.5" thickTop="1" thickBot="1" x14ac:dyDescent="0.4">
      <c r="A168" s="124"/>
      <c r="B168" s="1"/>
      <c r="C168" s="238"/>
      <c r="D168" s="238"/>
      <c r="E168" s="80"/>
      <c r="F168" s="80"/>
      <c r="G168" s="80"/>
      <c r="H168" s="79"/>
      <c r="J168" s="78"/>
      <c r="K168" s="78"/>
      <c r="L168" s="78"/>
      <c r="M168" s="78"/>
      <c r="N168" s="78"/>
      <c r="O168" s="78"/>
      <c r="P168" s="78"/>
      <c r="Q168" s="78"/>
    </row>
    <row r="169" spans="1:17" s="18" customFormat="1" ht="16" thickBot="1" x14ac:dyDescent="0.4">
      <c r="A169" s="134" t="s">
        <v>27</v>
      </c>
      <c r="B169" s="135">
        <f>IFERROR(D169/C169,0)</f>
        <v>0</v>
      </c>
      <c r="C169" s="238">
        <f>SUM(C161:C167)</f>
        <v>28</v>
      </c>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219</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5"/>
      <c r="C173" s="238"/>
      <c r="D173" s="238"/>
      <c r="E173" s="80"/>
      <c r="F173" s="80"/>
      <c r="G173" s="80"/>
      <c r="H173" s="79"/>
      <c r="J173" s="78"/>
      <c r="K173" s="78"/>
      <c r="L173" s="78"/>
      <c r="M173" s="78"/>
      <c r="N173" s="78"/>
      <c r="O173" s="78"/>
      <c r="P173" s="78"/>
      <c r="Q173" s="78"/>
    </row>
    <row r="174" spans="1:17" s="18" customFormat="1" hidden="1" x14ac:dyDescent="0.35">
      <c r="A174" s="128" t="s">
        <v>446</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451</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448</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449</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450</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219</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423</v>
      </c>
      <c r="B186" s="385"/>
      <c r="C186" s="238"/>
      <c r="D186" s="238"/>
      <c r="E186" s="80"/>
      <c r="F186" s="80"/>
      <c r="G186" s="80"/>
      <c r="H186" s="79"/>
      <c r="J186" s="78"/>
      <c r="K186" s="78"/>
      <c r="L186" s="78"/>
      <c r="M186" s="78"/>
      <c r="N186" s="78"/>
      <c r="O186" s="78"/>
      <c r="P186" s="78"/>
      <c r="Q186" s="78"/>
    </row>
    <row r="187" spans="1:17" s="18" customFormat="1" hidden="1" x14ac:dyDescent="0.35">
      <c r="A187" s="128" t="s">
        <v>446</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451</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448</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449</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450</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40" t="s">
        <v>274</v>
      </c>
      <c r="B199" s="341">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4"/>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4" r:id="rId82" name="Check Box 19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5" r:id="rId83" name="Check Box 19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6" r:id="rId84" name="Check Box 20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7" r:id="rId85" name="Check Box 20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8" r:id="rId86" name="Check Box 20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59" r:id="rId87" name="Check Box 20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0" r:id="rId88" name="Check Box 20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1" r:id="rId89" name="Check Box 20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2" r:id="rId90" name="Check Box 20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3" r:id="rId91" name="Check Box 20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4" r:id="rId92" name="Check Box 20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5" r:id="rId93" name="Check Box 20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6" r:id="rId94" name="Check Box 21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7" r:id="rId95" name="Check Box 21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8" r:id="rId96" name="Check Box 21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69" r:id="rId97" name="Check Box 21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0" r:id="rId98" name="Check Box 2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1" r:id="rId99" name="Check Box 2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2" r:id="rId100" name="Check Box 2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3" r:id="rId101" name="Check Box 2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75" r:id="rId102" name="Check Box 219">
              <controlPr defaultSize="0" autoFill="0" autoLine="0" autoPict="0">
                <anchor moveWithCells="1">
                  <from>
                    <xdr:col>1</xdr:col>
                    <xdr:colOff>419100</xdr:colOff>
                    <xdr:row>160</xdr:row>
                    <xdr:rowOff>0</xdr:rowOff>
                  </from>
                  <to>
                    <xdr:col>1</xdr:col>
                    <xdr:colOff>609600</xdr:colOff>
                    <xdr:row>161</xdr:row>
                    <xdr:rowOff>12700</xdr:rowOff>
                  </to>
                </anchor>
              </controlPr>
            </control>
          </mc:Choice>
        </mc:AlternateContent>
        <mc:AlternateContent xmlns:mc="http://schemas.openxmlformats.org/markup-compatibility/2006">
          <mc:Choice Requires="x14">
            <control shapeId="45276" r:id="rId103" name="Check Box 220">
              <controlPr defaultSize="0" autoFill="0" autoLine="0" autoPict="0">
                <anchor moveWithCells="1">
                  <from>
                    <xdr:col>1</xdr:col>
                    <xdr:colOff>419100</xdr:colOff>
                    <xdr:row>161</xdr:row>
                    <xdr:rowOff>0</xdr:rowOff>
                  </from>
                  <to>
                    <xdr:col>1</xdr:col>
                    <xdr:colOff>609600</xdr:colOff>
                    <xdr:row>162</xdr:row>
                    <xdr:rowOff>12700</xdr:rowOff>
                  </to>
                </anchor>
              </controlPr>
            </control>
          </mc:Choice>
        </mc:AlternateContent>
        <mc:AlternateContent xmlns:mc="http://schemas.openxmlformats.org/markup-compatibility/2006">
          <mc:Choice Requires="x14">
            <control shapeId="45277" r:id="rId104" name="Check Box 221">
              <controlPr defaultSize="0" autoFill="0" autoLine="0" autoPict="0">
                <anchor moveWithCells="1">
                  <from>
                    <xdr:col>1</xdr:col>
                    <xdr:colOff>419100</xdr:colOff>
                    <xdr:row>162</xdr:row>
                    <xdr:rowOff>0</xdr:rowOff>
                  </from>
                  <to>
                    <xdr:col>1</xdr:col>
                    <xdr:colOff>609600</xdr:colOff>
                    <xdr:row>163</xdr:row>
                    <xdr:rowOff>12700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169</xdr:row>
                    <xdr:rowOff>0</xdr:rowOff>
                  </from>
                  <to>
                    <xdr:col>1</xdr:col>
                    <xdr:colOff>609600</xdr:colOff>
                    <xdr:row>169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6" sqref="G6:G12"/>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2" t="s">
        <v>412</v>
      </c>
    </row>
    <row r="2" spans="1:8" s="5" customFormat="1" x14ac:dyDescent="0.35">
      <c r="A2" s="577" t="s">
        <v>30</v>
      </c>
      <c r="B2" s="578"/>
      <c r="C2" s="578"/>
      <c r="G2" s="373" t="str">
        <f>VLOOKUP(shiptypenum,shiptbl,2,FALSE)</f>
        <v>SSBN/SSGN</v>
      </c>
    </row>
    <row r="3" spans="1:8" s="5" customFormat="1" x14ac:dyDescent="0.35">
      <c r="A3" s="42"/>
      <c r="B3" s="15"/>
      <c r="C3" s="15"/>
    </row>
    <row r="4" spans="1:8" s="5" customFormat="1" ht="36.75" customHeight="1" x14ac:dyDescent="0.35">
      <c r="A4" s="576" t="s">
        <v>484</v>
      </c>
      <c r="B4" s="576"/>
      <c r="C4" s="215"/>
      <c r="D4" s="228"/>
    </row>
    <row r="5" spans="1:8" s="5" customFormat="1" ht="36.75" customHeight="1" thickBot="1" x14ac:dyDescent="0.4">
      <c r="A5" s="576" t="s">
        <v>485</v>
      </c>
      <c r="B5" s="576"/>
      <c r="C5" s="215"/>
      <c r="D5" s="228"/>
    </row>
    <row r="6" spans="1:8" s="5" customFormat="1" ht="16.5" thickTop="1" thickBot="1" x14ac:dyDescent="0.4">
      <c r="A6" s="61"/>
      <c r="B6" s="32"/>
      <c r="C6" s="21" t="s">
        <v>26</v>
      </c>
      <c r="D6" s="13" t="s">
        <v>24</v>
      </c>
      <c r="E6" s="13" t="s">
        <v>25</v>
      </c>
      <c r="F6" s="126" t="s">
        <v>128</v>
      </c>
      <c r="G6" s="484"/>
    </row>
    <row r="7" spans="1:8" ht="47.25" customHeight="1" thickTop="1" x14ac:dyDescent="0.35">
      <c r="A7" s="155" t="s">
        <v>28</v>
      </c>
      <c r="B7" s="76" t="s">
        <v>221</v>
      </c>
      <c r="C7" s="493" t="b">
        <v>0</v>
      </c>
      <c r="D7" s="189">
        <v>5</v>
      </c>
      <c r="E7" s="184">
        <f>IF(C7,D7,0)</f>
        <v>0</v>
      </c>
      <c r="F7" s="25"/>
      <c r="G7" s="484"/>
      <c r="H7" s="34"/>
    </row>
    <row r="8" spans="1:8" ht="48" customHeight="1" x14ac:dyDescent="0.35">
      <c r="A8" s="155" t="s">
        <v>125</v>
      </c>
      <c r="B8" s="244" t="s">
        <v>248</v>
      </c>
      <c r="C8" s="493" t="s">
        <v>479</v>
      </c>
      <c r="D8" s="189">
        <v>0</v>
      </c>
      <c r="E8" s="184">
        <v>0</v>
      </c>
      <c r="F8" s="25"/>
      <c r="G8" s="484"/>
      <c r="H8" s="34"/>
    </row>
    <row r="9" spans="1:8" ht="48" customHeight="1" x14ac:dyDescent="0.35">
      <c r="A9" s="155" t="s">
        <v>126</v>
      </c>
      <c r="B9" s="214" t="s">
        <v>222</v>
      </c>
      <c r="C9" s="493" t="b">
        <v>0</v>
      </c>
      <c r="D9" s="189">
        <v>5</v>
      </c>
      <c r="E9" s="184">
        <f t="shared" ref="E9:E10" si="0">IF(C9,D9,0)</f>
        <v>0</v>
      </c>
      <c r="F9" s="25"/>
      <c r="G9" s="484"/>
      <c r="H9" s="34"/>
    </row>
    <row r="10" spans="1:8" ht="42.75" customHeight="1" x14ac:dyDescent="0.35">
      <c r="A10" s="155" t="s">
        <v>127</v>
      </c>
      <c r="B10" s="244" t="s">
        <v>249</v>
      </c>
      <c r="C10" s="492" t="b">
        <v>0</v>
      </c>
      <c r="D10" s="189">
        <v>5</v>
      </c>
      <c r="E10" s="184">
        <f t="shared" si="0"/>
        <v>0</v>
      </c>
      <c r="F10" s="25"/>
      <c r="G10" s="484"/>
      <c r="H10" s="19"/>
    </row>
    <row r="11" spans="1:8" ht="39.75" customHeight="1" thickBot="1" x14ac:dyDescent="0.4">
      <c r="A11" s="155" t="s">
        <v>223</v>
      </c>
      <c r="B11" s="59" t="s">
        <v>112</v>
      </c>
      <c r="C11" s="494" t="s">
        <v>479</v>
      </c>
      <c r="D11" s="189">
        <v>0</v>
      </c>
      <c r="E11" s="184">
        <v>0</v>
      </c>
      <c r="F11" s="25"/>
      <c r="G11" s="484"/>
    </row>
    <row r="12" spans="1:8" ht="20.25" customHeight="1" thickTop="1" thickBot="1" x14ac:dyDescent="0.4">
      <c r="A12" s="29"/>
      <c r="B12" s="27"/>
      <c r="G12" s="488"/>
    </row>
    <row r="13" spans="1:8" ht="16" thickBot="1" x14ac:dyDescent="0.4">
      <c r="B13" s="28" t="s">
        <v>29</v>
      </c>
      <c r="C13" s="495">
        <f>E13/(D13-F13)</f>
        <v>0</v>
      </c>
      <c r="D13" s="189">
        <f>SUM(D7:D11)</f>
        <v>15</v>
      </c>
      <c r="E13" s="189">
        <f>SUM(E7:E11)</f>
        <v>0</v>
      </c>
      <c r="F13" s="26">
        <f>SUM(F7:F11)</f>
        <v>0</v>
      </c>
      <c r="G13" s="488"/>
    </row>
    <row r="14" spans="1:8" ht="16" thickBot="1" x14ac:dyDescent="0.4">
      <c r="G14" s="488"/>
    </row>
    <row r="15" spans="1:8" ht="187.5" customHeight="1" thickBot="1" x14ac:dyDescent="0.4">
      <c r="B15" s="579" t="s">
        <v>47</v>
      </c>
      <c r="C15" s="580"/>
      <c r="G15" s="488"/>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2"/>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81" t="s">
        <v>0</v>
      </c>
      <c r="B1" s="581"/>
      <c r="C1" s="581"/>
      <c r="G1" s="372" t="s">
        <v>412</v>
      </c>
    </row>
    <row r="2" spans="1:9" s="40" customFormat="1" x14ac:dyDescent="0.35">
      <c r="A2" s="375"/>
      <c r="B2" s="375"/>
      <c r="C2" s="375"/>
      <c r="G2" s="373" t="str">
        <f>VLOOKUP(shiptypenum,shiptbl,2,FALSE)</f>
        <v>SSBN/SSGN</v>
      </c>
    </row>
    <row r="3" spans="1:9" s="40" customFormat="1" x14ac:dyDescent="0.35">
      <c r="A3" s="53" t="s">
        <v>44</v>
      </c>
      <c r="B3" s="51"/>
      <c r="C3" s="53"/>
      <c r="D3" s="51"/>
    </row>
    <row r="4" spans="1:9" s="40" customFormat="1" ht="36.75" customHeight="1" x14ac:dyDescent="0.35">
      <c r="A4" s="576" t="s">
        <v>484</v>
      </c>
      <c r="B4" s="576"/>
      <c r="C4" s="215"/>
      <c r="D4" s="374"/>
      <c r="G4" s="295"/>
    </row>
    <row r="5" spans="1:9" s="40" customFormat="1" ht="36.75" customHeight="1" thickBot="1" x14ac:dyDescent="0.4">
      <c r="A5" s="576" t="s">
        <v>485</v>
      </c>
      <c r="B5" s="576"/>
      <c r="C5" s="215"/>
      <c r="D5" s="374"/>
    </row>
    <row r="6" spans="1:9" s="40" customFormat="1" ht="16.5" thickTop="1" thickBot="1" x14ac:dyDescent="0.4">
      <c r="A6" s="176"/>
      <c r="B6" s="177"/>
      <c r="C6" s="178" t="s">
        <v>26</v>
      </c>
      <c r="D6" s="126" t="s">
        <v>24</v>
      </c>
      <c r="E6" s="126" t="s">
        <v>25</v>
      </c>
      <c r="F6" s="126"/>
      <c r="G6" s="484"/>
    </row>
    <row r="7" spans="1:9" ht="23.25" customHeight="1" thickTop="1" x14ac:dyDescent="0.35">
      <c r="A7" s="582" t="s">
        <v>211</v>
      </c>
      <c r="B7" s="583"/>
      <c r="C7" s="454"/>
      <c r="D7" s="184"/>
      <c r="E7" s="189"/>
      <c r="G7" s="484"/>
    </row>
    <row r="8" spans="1:9" ht="57.75" customHeight="1" x14ac:dyDescent="0.35">
      <c r="A8" s="37" t="s">
        <v>55</v>
      </c>
      <c r="B8" s="150" t="s">
        <v>471</v>
      </c>
      <c r="C8" s="264" t="b">
        <v>0</v>
      </c>
      <c r="D8" s="184">
        <v>10</v>
      </c>
      <c r="E8" s="189">
        <f t="shared" ref="E8:E10" si="0">IF(C8,D8,0)</f>
        <v>0</v>
      </c>
      <c r="G8" s="484"/>
    </row>
    <row r="9" spans="1:9" ht="57.75" customHeight="1" x14ac:dyDescent="0.35">
      <c r="A9" s="37" t="s">
        <v>56</v>
      </c>
      <c r="B9" s="150" t="s">
        <v>472</v>
      </c>
      <c r="C9" s="264" t="b">
        <v>0</v>
      </c>
      <c r="D9" s="184">
        <v>10</v>
      </c>
      <c r="E9" s="189">
        <f t="shared" si="0"/>
        <v>0</v>
      </c>
      <c r="G9" s="484"/>
    </row>
    <row r="10" spans="1:9" ht="50.25" customHeight="1" thickBot="1" x14ac:dyDescent="0.4">
      <c r="A10" s="180" t="s">
        <v>57</v>
      </c>
      <c r="B10" s="202" t="s">
        <v>415</v>
      </c>
      <c r="C10" s="266" t="b">
        <v>0</v>
      </c>
      <c r="D10" s="184">
        <v>8</v>
      </c>
      <c r="E10" s="189">
        <f t="shared" si="0"/>
        <v>0</v>
      </c>
      <c r="G10" s="484"/>
      <c r="I10" s="1"/>
    </row>
    <row r="11" spans="1:9" ht="17.25" customHeight="1" thickTop="1" thickBot="1" x14ac:dyDescent="0.4">
      <c r="B11" s="201"/>
      <c r="C11" s="190"/>
      <c r="D11" s="140"/>
      <c r="E11" s="140"/>
      <c r="G11" s="489"/>
    </row>
    <row r="12" spans="1:9" ht="28.5" customHeight="1" thickBot="1" x14ac:dyDescent="0.4">
      <c r="B12" s="499" t="s">
        <v>29</v>
      </c>
      <c r="C12" s="252">
        <f>E12/D12</f>
        <v>0</v>
      </c>
      <c r="D12" s="184">
        <f>SUM(D7:D10)</f>
        <v>28</v>
      </c>
      <c r="E12" s="184">
        <f>SUM(E7:E10)</f>
        <v>0</v>
      </c>
      <c r="G12" s="489"/>
    </row>
    <row r="13" spans="1:9" x14ac:dyDescent="0.35">
      <c r="B13" s="190"/>
      <c r="C13" s="190"/>
      <c r="D13" s="190"/>
    </row>
    <row r="14" spans="1:9" ht="28.5" customHeight="1" thickBot="1" x14ac:dyDescent="0.4"/>
    <row r="15" spans="1:9" ht="93.75" customHeight="1" thickBot="1" x14ac:dyDescent="0.4">
      <c r="B15" s="508"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G6" sqref="G6:G14"/>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2" t="s">
        <v>412</v>
      </c>
    </row>
    <row r="2" spans="1:7" ht="15.5" x14ac:dyDescent="0.35">
      <c r="F2" s="62"/>
      <c r="G2" s="373" t="str">
        <f>VLOOKUP(shiptypenum,shiptbl,2,FALSE)</f>
        <v>SSBN/SSGN</v>
      </c>
    </row>
    <row r="3" spans="1:7" s="5" customFormat="1" ht="19.5" customHeight="1" x14ac:dyDescent="0.35">
      <c r="A3" s="53" t="s">
        <v>44</v>
      </c>
      <c r="B3" s="51"/>
      <c r="C3" s="52"/>
      <c r="D3" s="40"/>
    </row>
    <row r="4" spans="1:7" s="5" customFormat="1" ht="36.75" customHeight="1" x14ac:dyDescent="0.35">
      <c r="A4" s="576" t="s">
        <v>484</v>
      </c>
      <c r="B4" s="576"/>
      <c r="C4" s="576"/>
      <c r="D4" s="212"/>
    </row>
    <row r="5" spans="1:7" s="5" customFormat="1" ht="36.75" customHeight="1" thickBot="1" x14ac:dyDescent="0.4">
      <c r="A5" s="576" t="s">
        <v>485</v>
      </c>
      <c r="B5" s="576"/>
      <c r="C5" s="576"/>
      <c r="D5" s="212"/>
    </row>
    <row r="6" spans="1:7" s="5" customFormat="1" ht="16.5" thickTop="1" thickBot="1" x14ac:dyDescent="0.4">
      <c r="A6" s="61"/>
      <c r="B6" s="224"/>
      <c r="C6" s="225"/>
      <c r="D6" s="21" t="s">
        <v>26</v>
      </c>
      <c r="E6" s="13" t="s">
        <v>24</v>
      </c>
      <c r="F6" s="13" t="s">
        <v>25</v>
      </c>
      <c r="G6" s="484"/>
    </row>
    <row r="7" spans="1:7" ht="69" customHeight="1" thickTop="1" x14ac:dyDescent="0.35">
      <c r="A7" s="251"/>
      <c r="B7" s="586" t="s">
        <v>253</v>
      </c>
      <c r="C7" s="587"/>
      <c r="D7" s="461"/>
      <c r="E7" s="165"/>
      <c r="F7" s="184"/>
      <c r="G7" s="330"/>
    </row>
    <row r="8" spans="1:7" ht="23.25" customHeight="1" x14ac:dyDescent="0.35">
      <c r="A8" s="160" t="s">
        <v>244</v>
      </c>
      <c r="B8" s="247" t="s">
        <v>240</v>
      </c>
      <c r="C8" s="248">
        <f>VLOOKUP(ship_type,sqft_tbl,2,FALSE)</f>
        <v>24</v>
      </c>
      <c r="D8" s="460" t="b">
        <v>0</v>
      </c>
      <c r="E8" s="81">
        <v>5</v>
      </c>
      <c r="F8" s="184">
        <f>IF(D8,E8,0)</f>
        <v>0</v>
      </c>
      <c r="G8" s="484"/>
    </row>
    <row r="9" spans="1:7" ht="24" customHeight="1" x14ac:dyDescent="0.35">
      <c r="A9" s="160" t="s">
        <v>245</v>
      </c>
      <c r="B9" s="234" t="s">
        <v>241</v>
      </c>
      <c r="C9" s="249">
        <f>VLOOKUP(ship_type,sqft_tbl,3,FALSE)</f>
        <v>10</v>
      </c>
      <c r="D9" s="250" t="b">
        <v>0</v>
      </c>
      <c r="E9" s="81">
        <v>8</v>
      </c>
      <c r="F9" s="184">
        <f t="shared" ref="F9:F11" si="0">IF(D9,E9,0)</f>
        <v>0</v>
      </c>
      <c r="G9" s="484"/>
    </row>
    <row r="10" spans="1:7" ht="23.25" customHeight="1" x14ac:dyDescent="0.35">
      <c r="A10" s="160" t="s">
        <v>246</v>
      </c>
      <c r="B10" s="234" t="s">
        <v>242</v>
      </c>
      <c r="C10" s="249">
        <f>VLOOKUP(ship_type,sqft_tbl,4,FALSE)</f>
        <v>10</v>
      </c>
      <c r="D10" s="250" t="b">
        <v>0</v>
      </c>
      <c r="E10" s="81">
        <v>8</v>
      </c>
      <c r="F10" s="184">
        <f t="shared" si="0"/>
        <v>0</v>
      </c>
      <c r="G10" s="484"/>
    </row>
    <row r="11" spans="1:7" ht="22.5" customHeight="1" thickBot="1" x14ac:dyDescent="0.4">
      <c r="A11" s="160" t="s">
        <v>247</v>
      </c>
      <c r="B11" s="234" t="s">
        <v>243</v>
      </c>
      <c r="C11" s="253">
        <f>VLOOKUP(ship_type,sqft_tbl,5,FALSE)</f>
        <v>253</v>
      </c>
      <c r="D11" s="250" t="b">
        <v>0</v>
      </c>
      <c r="E11" s="81">
        <v>10</v>
      </c>
      <c r="F11" s="184">
        <f t="shared" si="0"/>
        <v>0</v>
      </c>
      <c r="G11" s="484"/>
    </row>
    <row r="12" spans="1:7" ht="15.5" thickTop="1" thickBot="1" x14ac:dyDescent="0.4">
      <c r="A12" s="389"/>
      <c r="B12" s="389"/>
      <c r="C12" s="389"/>
      <c r="D12" s="389"/>
      <c r="F12" s="1"/>
      <c r="G12" s="489"/>
    </row>
    <row r="13" spans="1:7" ht="28.5" customHeight="1" thickBot="1" x14ac:dyDescent="0.4">
      <c r="A13" s="181"/>
      <c r="B13" s="588" t="s">
        <v>29</v>
      </c>
      <c r="C13" s="589"/>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84" t="s">
        <v>46</v>
      </c>
      <c r="C16" s="585"/>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G6" sqref="G6:G31"/>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2" t="s">
        <v>412</v>
      </c>
    </row>
    <row r="2" spans="1:8" s="20" customFormat="1" x14ac:dyDescent="0.35">
      <c r="A2" s="12"/>
      <c r="B2" s="16"/>
      <c r="C2" s="12"/>
      <c r="D2" s="245"/>
      <c r="G2" s="373" t="str">
        <f>VLOOKUP(shiptypenum,shiptbl,2,FALSE)</f>
        <v>SSBN/SSGN</v>
      </c>
    </row>
    <row r="3" spans="1:8" s="20" customFormat="1" ht="19.5" customHeight="1" x14ac:dyDescent="0.35">
      <c r="A3" s="590" t="s">
        <v>44</v>
      </c>
      <c r="B3" s="590"/>
      <c r="C3" s="6"/>
      <c r="D3" s="245"/>
      <c r="E3" s="254"/>
      <c r="G3" s="182"/>
    </row>
    <row r="4" spans="1:8" s="20" customFormat="1" ht="33.75" customHeight="1" x14ac:dyDescent="0.35">
      <c r="A4" s="576" t="s">
        <v>484</v>
      </c>
      <c r="B4" s="576"/>
      <c r="C4" s="576"/>
      <c r="D4" s="245"/>
      <c r="E4" s="254"/>
      <c r="G4" s="182"/>
    </row>
    <row r="5" spans="1:8" s="20" customFormat="1" ht="33.75" customHeight="1" thickBot="1" x14ac:dyDescent="0.4">
      <c r="A5" s="576" t="s">
        <v>485</v>
      </c>
      <c r="B5" s="576"/>
      <c r="C5" s="576"/>
      <c r="D5" s="245"/>
      <c r="E5" s="254"/>
      <c r="G5" s="182"/>
    </row>
    <row r="6" spans="1:8" s="3" customFormat="1" ht="31.5" customHeight="1" thickTop="1" thickBot="1" x14ac:dyDescent="0.4">
      <c r="A6" s="146"/>
      <c r="B6" s="161"/>
      <c r="C6" s="75" t="s">
        <v>26</v>
      </c>
      <c r="D6" s="189" t="s">
        <v>24</v>
      </c>
      <c r="E6" s="189" t="s">
        <v>25</v>
      </c>
      <c r="F6" s="69"/>
      <c r="G6" s="318"/>
    </row>
    <row r="7" spans="1:8" s="3" customFormat="1" ht="16" thickTop="1" x14ac:dyDescent="0.35">
      <c r="A7" s="592" t="s">
        <v>129</v>
      </c>
      <c r="B7" s="593"/>
      <c r="C7" s="456"/>
      <c r="D7" s="26"/>
      <c r="G7" s="496"/>
    </row>
    <row r="8" spans="1:8" s="3" customFormat="1" ht="36" customHeight="1" x14ac:dyDescent="0.35">
      <c r="A8" s="64" t="s">
        <v>145</v>
      </c>
      <c r="B8" s="147" t="s">
        <v>130</v>
      </c>
      <c r="C8" s="70" t="b">
        <v>0</v>
      </c>
      <c r="D8" s="189">
        <v>10</v>
      </c>
      <c r="E8" s="189">
        <f>IF(C8,D8,0)</f>
        <v>0</v>
      </c>
      <c r="F8" s="68"/>
      <c r="G8" s="318"/>
      <c r="H8" s="49"/>
    </row>
    <row r="9" spans="1:8" s="3" customFormat="1" ht="36" customHeight="1" x14ac:dyDescent="0.35">
      <c r="A9" s="64" t="s">
        <v>146</v>
      </c>
      <c r="B9" s="59" t="s">
        <v>131</v>
      </c>
      <c r="C9" s="66" t="b">
        <v>0</v>
      </c>
      <c r="D9" s="189">
        <v>8</v>
      </c>
      <c r="E9" s="189">
        <f t="shared" ref="E9:E30" si="0">IF(C9,D9,0)</f>
        <v>0</v>
      </c>
      <c r="F9" s="68"/>
      <c r="G9" s="318"/>
    </row>
    <row r="10" spans="1:8" s="3" customFormat="1" ht="36" customHeight="1" x14ac:dyDescent="0.35">
      <c r="A10" s="64" t="s">
        <v>147</v>
      </c>
      <c r="B10" s="156" t="s">
        <v>254</v>
      </c>
      <c r="C10" s="66" t="b">
        <v>0</v>
      </c>
      <c r="D10" s="189">
        <v>1</v>
      </c>
      <c r="E10" s="189">
        <f t="shared" si="0"/>
        <v>0</v>
      </c>
      <c r="F10" s="68"/>
      <c r="G10" s="318"/>
    </row>
    <row r="11" spans="1:8" s="3" customFormat="1" ht="36" customHeight="1" x14ac:dyDescent="0.35">
      <c r="A11" s="64" t="s">
        <v>148</v>
      </c>
      <c r="B11" s="156" t="s">
        <v>132</v>
      </c>
      <c r="C11" s="66" t="b">
        <v>0</v>
      </c>
      <c r="D11" s="189">
        <v>5</v>
      </c>
      <c r="E11" s="189">
        <f t="shared" si="0"/>
        <v>0</v>
      </c>
      <c r="F11" s="68"/>
      <c r="G11" s="318"/>
    </row>
    <row r="12" spans="1:8" s="3" customFormat="1" ht="25.5" customHeight="1" x14ac:dyDescent="0.35">
      <c r="A12" s="594" t="s">
        <v>224</v>
      </c>
      <c r="B12" s="595"/>
      <c r="C12" s="456"/>
      <c r="D12" s="68"/>
      <c r="E12" s="189"/>
      <c r="F12" s="68"/>
      <c r="G12" s="318"/>
    </row>
    <row r="13" spans="1:8" s="3" customFormat="1" ht="36" customHeight="1" x14ac:dyDescent="0.35">
      <c r="A13" s="64" t="s">
        <v>149</v>
      </c>
      <c r="B13" s="45" t="s">
        <v>133</v>
      </c>
      <c r="C13" s="66" t="b">
        <v>0</v>
      </c>
      <c r="D13" s="189">
        <v>8</v>
      </c>
      <c r="E13" s="189">
        <f t="shared" si="0"/>
        <v>0</v>
      </c>
      <c r="F13" s="68"/>
      <c r="G13" s="318"/>
    </row>
    <row r="14" spans="1:8" s="3" customFormat="1" ht="36" customHeight="1" x14ac:dyDescent="0.35">
      <c r="A14" s="64" t="s">
        <v>150</v>
      </c>
      <c r="B14" s="59" t="s">
        <v>134</v>
      </c>
      <c r="C14" s="66" t="b">
        <v>0</v>
      </c>
      <c r="D14" s="189">
        <v>8</v>
      </c>
      <c r="E14" s="189">
        <f t="shared" si="0"/>
        <v>0</v>
      </c>
      <c r="F14" s="68"/>
      <c r="G14" s="318"/>
    </row>
    <row r="15" spans="1:8" s="3" customFormat="1" ht="36" customHeight="1" x14ac:dyDescent="0.35">
      <c r="A15" s="64" t="s">
        <v>151</v>
      </c>
      <c r="B15" s="59" t="s">
        <v>225</v>
      </c>
      <c r="C15" s="66" t="b">
        <v>0</v>
      </c>
      <c r="D15" s="189">
        <v>10</v>
      </c>
      <c r="E15" s="189">
        <f t="shared" si="0"/>
        <v>0</v>
      </c>
      <c r="F15" s="68"/>
      <c r="G15" s="318"/>
    </row>
    <row r="16" spans="1:8" s="3" customFormat="1" ht="27" customHeight="1" x14ac:dyDescent="0.35">
      <c r="A16" s="596" t="s">
        <v>136</v>
      </c>
      <c r="B16" s="597"/>
      <c r="C16" s="456"/>
      <c r="D16" s="68"/>
      <c r="E16" s="189"/>
      <c r="F16" s="68"/>
      <c r="G16" s="318"/>
    </row>
    <row r="17" spans="1:7" s="3" customFormat="1" ht="36" customHeight="1" x14ac:dyDescent="0.35">
      <c r="A17" s="64" t="s">
        <v>152</v>
      </c>
      <c r="B17" s="45" t="s">
        <v>135</v>
      </c>
      <c r="C17" s="66" t="b">
        <v>0</v>
      </c>
      <c r="D17" s="189">
        <v>8</v>
      </c>
      <c r="E17" s="189">
        <f t="shared" si="0"/>
        <v>0</v>
      </c>
      <c r="F17" s="68"/>
      <c r="G17" s="318"/>
    </row>
    <row r="18" spans="1:7" s="3" customFormat="1" ht="36" customHeight="1" x14ac:dyDescent="0.35">
      <c r="A18" s="64" t="s">
        <v>153</v>
      </c>
      <c r="B18" s="59" t="s">
        <v>134</v>
      </c>
      <c r="C18" s="66" t="b">
        <v>0</v>
      </c>
      <c r="D18" s="189">
        <v>8</v>
      </c>
      <c r="E18" s="189">
        <f t="shared" si="0"/>
        <v>0</v>
      </c>
      <c r="F18" s="68"/>
      <c r="G18" s="318"/>
    </row>
    <row r="19" spans="1:7" s="3" customFormat="1" ht="36" customHeight="1" x14ac:dyDescent="0.35">
      <c r="A19" s="64" t="s">
        <v>154</v>
      </c>
      <c r="B19" s="59" t="s">
        <v>225</v>
      </c>
      <c r="C19" s="66" t="b">
        <v>0</v>
      </c>
      <c r="D19" s="189">
        <v>10</v>
      </c>
      <c r="E19" s="189">
        <f t="shared" si="0"/>
        <v>0</v>
      </c>
      <c r="F19" s="68"/>
      <c r="G19" s="318"/>
    </row>
    <row r="20" spans="1:7" s="3" customFormat="1" ht="22.5" customHeight="1" x14ac:dyDescent="0.35">
      <c r="A20" s="596" t="s">
        <v>140</v>
      </c>
      <c r="B20" s="597"/>
      <c r="C20" s="457"/>
      <c r="D20" s="68"/>
      <c r="E20" s="189"/>
      <c r="F20" s="68"/>
      <c r="G20" s="318"/>
    </row>
    <row r="21" spans="1:7" s="3" customFormat="1" ht="36" customHeight="1" x14ac:dyDescent="0.35">
      <c r="A21" s="64" t="s">
        <v>155</v>
      </c>
      <c r="B21" s="156" t="s">
        <v>137</v>
      </c>
      <c r="C21" s="66" t="b">
        <v>0</v>
      </c>
      <c r="D21" s="189">
        <v>10</v>
      </c>
      <c r="E21" s="189">
        <f t="shared" si="0"/>
        <v>0</v>
      </c>
      <c r="F21" s="68"/>
      <c r="G21" s="318"/>
    </row>
    <row r="22" spans="1:7" s="159" customFormat="1" ht="36" customHeight="1" x14ac:dyDescent="0.35">
      <c r="A22" s="64" t="s">
        <v>156</v>
      </c>
      <c r="B22" s="157" t="s">
        <v>226</v>
      </c>
      <c r="C22" s="66" t="b">
        <v>0</v>
      </c>
      <c r="D22" s="189">
        <v>2</v>
      </c>
      <c r="E22" s="189">
        <f t="shared" si="0"/>
        <v>0</v>
      </c>
      <c r="F22" s="158"/>
      <c r="G22" s="318"/>
    </row>
    <row r="23" spans="1:7" s="3" customFormat="1" ht="36" customHeight="1" x14ac:dyDescent="0.35">
      <c r="A23" s="64" t="s">
        <v>157</v>
      </c>
      <c r="B23" s="156" t="s">
        <v>227</v>
      </c>
      <c r="C23" s="66" t="b">
        <v>0</v>
      </c>
      <c r="D23" s="189">
        <v>7</v>
      </c>
      <c r="E23" s="189">
        <f t="shared" si="0"/>
        <v>0</v>
      </c>
      <c r="F23" s="68"/>
      <c r="G23" s="318"/>
    </row>
    <row r="24" spans="1:7" s="3" customFormat="1" ht="36" customHeight="1" x14ac:dyDescent="0.35">
      <c r="A24" s="64" t="s">
        <v>158</v>
      </c>
      <c r="B24" s="156" t="s">
        <v>138</v>
      </c>
      <c r="C24" s="66" t="b">
        <v>0</v>
      </c>
      <c r="D24" s="189">
        <v>3</v>
      </c>
      <c r="E24" s="189">
        <f t="shared" si="0"/>
        <v>0</v>
      </c>
      <c r="F24" s="68"/>
      <c r="G24" s="318"/>
    </row>
    <row r="25" spans="1:7" s="3" customFormat="1" ht="36" customHeight="1" x14ac:dyDescent="0.35">
      <c r="A25" s="64" t="s">
        <v>159</v>
      </c>
      <c r="B25" s="45" t="s">
        <v>139</v>
      </c>
      <c r="C25" s="66" t="b">
        <v>0</v>
      </c>
      <c r="D25" s="189">
        <v>8</v>
      </c>
      <c r="E25" s="189">
        <f t="shared" si="0"/>
        <v>0</v>
      </c>
      <c r="F25" s="68"/>
      <c r="G25" s="318"/>
    </row>
    <row r="26" spans="1:7" s="3" customFormat="1" ht="36" customHeight="1" x14ac:dyDescent="0.35">
      <c r="A26" s="64" t="s">
        <v>160</v>
      </c>
      <c r="B26" s="45" t="s">
        <v>141</v>
      </c>
      <c r="C26" s="66" t="b">
        <v>0</v>
      </c>
      <c r="D26" s="189">
        <v>1</v>
      </c>
      <c r="E26" s="189">
        <f t="shared" si="0"/>
        <v>0</v>
      </c>
      <c r="F26" s="68"/>
      <c r="G26" s="318"/>
    </row>
    <row r="27" spans="1:7" s="3" customFormat="1" ht="36" customHeight="1" x14ac:dyDescent="0.35">
      <c r="A27" s="64" t="s">
        <v>161</v>
      </c>
      <c r="B27" s="226" t="s">
        <v>255</v>
      </c>
      <c r="C27" s="66" t="b">
        <v>0</v>
      </c>
      <c r="D27" s="189">
        <v>10</v>
      </c>
      <c r="E27" s="189">
        <f t="shared" si="0"/>
        <v>0</v>
      </c>
      <c r="F27" s="68"/>
      <c r="G27" s="318"/>
    </row>
    <row r="28" spans="1:7" s="3" customFormat="1" ht="49.5" customHeight="1" x14ac:dyDescent="0.35">
      <c r="A28" s="64" t="s">
        <v>162</v>
      </c>
      <c r="B28" s="45" t="s">
        <v>142</v>
      </c>
      <c r="C28" s="66" t="b">
        <v>0</v>
      </c>
      <c r="D28" s="189">
        <v>3</v>
      </c>
      <c r="E28" s="189">
        <f t="shared" si="0"/>
        <v>0</v>
      </c>
      <c r="F28" s="68"/>
      <c r="G28" s="318"/>
    </row>
    <row r="29" spans="1:7" s="3" customFormat="1" ht="36" customHeight="1" x14ac:dyDescent="0.35">
      <c r="A29" s="64" t="s">
        <v>163</v>
      </c>
      <c r="B29" s="45" t="s">
        <v>143</v>
      </c>
      <c r="C29" s="66" t="b">
        <v>0</v>
      </c>
      <c r="D29" s="189">
        <v>5</v>
      </c>
      <c r="E29" s="189">
        <f t="shared" si="0"/>
        <v>0</v>
      </c>
      <c r="F29" s="68"/>
      <c r="G29" s="318"/>
    </row>
    <row r="30" spans="1:7" s="3" customFormat="1" ht="36" customHeight="1" thickBot="1" x14ac:dyDescent="0.4">
      <c r="A30" s="64" t="s">
        <v>164</v>
      </c>
      <c r="B30" s="207" t="s">
        <v>228</v>
      </c>
      <c r="C30" s="66" t="b">
        <v>0</v>
      </c>
      <c r="D30" s="189">
        <v>8</v>
      </c>
      <c r="E30" s="189">
        <f t="shared" si="0"/>
        <v>0</v>
      </c>
      <c r="F30" s="68"/>
      <c r="G30" s="318"/>
    </row>
    <row r="31" spans="1:7" s="3" customFormat="1" ht="16.5" thickTop="1" thickBot="1" x14ac:dyDescent="0.4">
      <c r="A31" s="27"/>
      <c r="B31" s="390"/>
      <c r="C31" s="8"/>
      <c r="D31" s="189"/>
      <c r="E31" s="40"/>
      <c r="F31" s="4"/>
      <c r="G31" s="488"/>
    </row>
    <row r="32" spans="1:7" s="3" customFormat="1" ht="15.75" customHeight="1" thickBot="1" x14ac:dyDescent="0.4">
      <c r="A32" s="10"/>
      <c r="B32" s="65" t="s">
        <v>29</v>
      </c>
      <c r="C32" s="255">
        <f>E32/D32</f>
        <v>0</v>
      </c>
      <c r="D32" s="189">
        <f>SUM(D8:D31)</f>
        <v>133</v>
      </c>
      <c r="E32" s="189">
        <f>SUM(E8:E31)</f>
        <v>0</v>
      </c>
      <c r="F32" s="4"/>
      <c r="G32" s="488"/>
    </row>
    <row r="33" spans="1:7" s="3" customFormat="1" ht="16" thickBot="1" x14ac:dyDescent="0.4">
      <c r="B33" s="5"/>
      <c r="C33" s="5"/>
      <c r="D33" s="68"/>
      <c r="E33" s="40"/>
      <c r="F33" s="4"/>
      <c r="G33" s="488"/>
    </row>
    <row r="34" spans="1:7" s="3" customFormat="1" ht="117.75" customHeight="1" thickBot="1" x14ac:dyDescent="0.4">
      <c r="A34" s="579" t="s">
        <v>46</v>
      </c>
      <c r="B34" s="591"/>
      <c r="C34" s="580"/>
      <c r="D34" s="68"/>
      <c r="E34" s="40"/>
      <c r="F34" s="4"/>
      <c r="G34" s="488"/>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G6" sqref="G6:G66"/>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6" customWidth="1"/>
    <col min="8" max="8" width="32.7265625" customWidth="1"/>
    <col min="9" max="10" width="0" hidden="1" customWidth="1"/>
  </cols>
  <sheetData>
    <row r="1" spans="1:10" x14ac:dyDescent="0.35">
      <c r="A1" s="162" t="s">
        <v>170</v>
      </c>
      <c r="B1" s="163"/>
      <c r="C1" s="164"/>
      <c r="D1" s="162"/>
      <c r="E1" s="165"/>
      <c r="G1" s="464" t="s">
        <v>412</v>
      </c>
    </row>
    <row r="2" spans="1:10" x14ac:dyDescent="0.35">
      <c r="A2" s="162"/>
      <c r="B2" s="163"/>
      <c r="C2" s="164"/>
      <c r="D2" s="162"/>
      <c r="E2" s="165"/>
      <c r="G2" s="465" t="str">
        <f>VLOOKUP(shiptypenum,shiptbl,2,FALSE)</f>
        <v>SSBN/SSGN</v>
      </c>
    </row>
    <row r="3" spans="1:10" x14ac:dyDescent="0.35">
      <c r="A3" s="598" t="s">
        <v>44</v>
      </c>
      <c r="B3" s="598"/>
      <c r="C3" s="166"/>
      <c r="D3" s="162"/>
      <c r="E3" s="165"/>
    </row>
    <row r="4" spans="1:10" s="20" customFormat="1" ht="33.75" customHeight="1" x14ac:dyDescent="0.35">
      <c r="A4" s="576" t="s">
        <v>484</v>
      </c>
      <c r="B4" s="576"/>
      <c r="C4" s="576"/>
      <c r="D4" s="272"/>
      <c r="E4" s="254"/>
      <c r="G4" s="182"/>
    </row>
    <row r="5" spans="1:10" s="20" customFormat="1" ht="33.75" customHeight="1" thickBot="1" x14ac:dyDescent="0.4">
      <c r="A5" s="576" t="s">
        <v>485</v>
      </c>
      <c r="B5" s="576"/>
      <c r="C5" s="576"/>
      <c r="D5" s="245"/>
      <c r="E5" s="254"/>
      <c r="G5" s="182"/>
    </row>
    <row r="6" spans="1:10" ht="87" customHeight="1" thickTop="1" thickBot="1" x14ac:dyDescent="0.4">
      <c r="A6" s="257" t="s">
        <v>268</v>
      </c>
      <c r="B6" s="601" t="s">
        <v>271</v>
      </c>
      <c r="C6" s="602"/>
      <c r="D6" s="463" t="s">
        <v>26</v>
      </c>
      <c r="E6" s="189" t="s">
        <v>24</v>
      </c>
      <c r="F6" s="189" t="s">
        <v>25</v>
      </c>
      <c r="G6" s="484"/>
    </row>
    <row r="7" spans="1:10" ht="79.5" customHeight="1" thickTop="1" thickBot="1" x14ac:dyDescent="0.4">
      <c r="A7" s="259"/>
      <c r="B7" s="586" t="s">
        <v>257</v>
      </c>
      <c r="C7" s="587"/>
      <c r="D7" s="462" t="s">
        <v>261</v>
      </c>
      <c r="E7" s="165"/>
      <c r="G7" s="484"/>
    </row>
    <row r="8" spans="1:10" ht="15.75" customHeight="1" x14ac:dyDescent="0.35">
      <c r="A8" s="160" t="s">
        <v>21</v>
      </c>
      <c r="B8" s="234" t="s">
        <v>414</v>
      </c>
      <c r="C8" s="361">
        <f>VLOOKUP(ship_type,recbestunderway,2,FALSE)</f>
        <v>10</v>
      </c>
      <c r="D8" s="265" t="b">
        <v>0</v>
      </c>
      <c r="E8" s="81">
        <v>10</v>
      </c>
      <c r="F8" s="184">
        <f>IF(D8,IF(C8="-",0,E8),0)</f>
        <v>0</v>
      </c>
      <c r="G8" s="484"/>
      <c r="I8">
        <f>IF(D8,1,0)</f>
        <v>0</v>
      </c>
    </row>
    <row r="9" spans="1:10" ht="15.75" customHeight="1" x14ac:dyDescent="0.35">
      <c r="A9" s="160"/>
      <c r="B9" s="58"/>
      <c r="C9" s="361">
        <f>VLOOKUP(ship_type,recbetterunderway,2,FALSE)</f>
        <v>6</v>
      </c>
      <c r="D9" s="273" t="b">
        <v>0</v>
      </c>
      <c r="E9" s="81">
        <f>0.85*E8</f>
        <v>8.5</v>
      </c>
      <c r="F9" s="184">
        <f t="shared" ref="F9:F19" si="0">IF(D9,IF(C9="-",0,E9),0)</f>
        <v>0</v>
      </c>
      <c r="G9" s="484"/>
      <c r="H9" t="str">
        <f>IF(J10&gt;1,"Entry error, select one answer","")</f>
        <v/>
      </c>
      <c r="I9">
        <f t="shared" ref="I9:I19" si="1">IF(D9,1,0)</f>
        <v>0</v>
      </c>
    </row>
    <row r="10" spans="1:10" ht="15.75" customHeight="1" x14ac:dyDescent="0.35">
      <c r="A10" s="160"/>
      <c r="B10" s="256"/>
      <c r="C10" s="362">
        <f>VLOOKUP(ship_type,recgoodunderway,2,FALSE)</f>
        <v>4</v>
      </c>
      <c r="D10" s="265" t="b">
        <v>0</v>
      </c>
      <c r="E10" s="81">
        <f>E8*0.75</f>
        <v>7.5</v>
      </c>
      <c r="F10" s="184">
        <f t="shared" si="0"/>
        <v>0</v>
      </c>
      <c r="G10" s="484"/>
      <c r="I10">
        <f t="shared" si="1"/>
        <v>0</v>
      </c>
      <c r="J10">
        <f>SUM(I8:I10)</f>
        <v>0</v>
      </c>
    </row>
    <row r="11" spans="1:10" ht="15.75" customHeight="1" x14ac:dyDescent="0.35">
      <c r="A11" s="160" t="s">
        <v>22</v>
      </c>
      <c r="B11" s="195" t="s">
        <v>165</v>
      </c>
      <c r="C11" s="363">
        <f>VLOOKUP(ship_type,recbestunderway,3,FALSE)</f>
        <v>1</v>
      </c>
      <c r="D11" s="265" t="b">
        <v>0</v>
      </c>
      <c r="E11" s="81">
        <v>10</v>
      </c>
      <c r="F11" s="184">
        <f t="shared" si="0"/>
        <v>0</v>
      </c>
      <c r="G11" s="484"/>
      <c r="I11">
        <f>IF(D11,1,0)</f>
        <v>0</v>
      </c>
    </row>
    <row r="12" spans="1:10" ht="15.75" customHeight="1" x14ac:dyDescent="0.35">
      <c r="A12" s="169"/>
      <c r="B12" s="170"/>
      <c r="C12" s="363" t="str">
        <f>VLOOKUP(ship_type,recbetterunderway,3,FALSE)</f>
        <v>-</v>
      </c>
      <c r="D12" s="265" t="b">
        <v>0</v>
      </c>
      <c r="E12" s="81">
        <f>0.85*E11</f>
        <v>8.5</v>
      </c>
      <c r="F12" s="184">
        <f t="shared" si="0"/>
        <v>0</v>
      </c>
      <c r="G12" s="484"/>
      <c r="H12" t="str">
        <f>IF(J13&gt;1,"Entry error, select one answer","")</f>
        <v/>
      </c>
      <c r="I12">
        <f t="shared" si="1"/>
        <v>0</v>
      </c>
    </row>
    <row r="13" spans="1:10" ht="15.75" customHeight="1" x14ac:dyDescent="0.35">
      <c r="A13" s="169"/>
      <c r="B13" s="246"/>
      <c r="C13" s="362" t="str">
        <f>VLOOKUP(ship_type,recgoodunderway,3,FALSE)</f>
        <v>-</v>
      </c>
      <c r="D13" s="265" t="b">
        <v>0</v>
      </c>
      <c r="E13" s="81">
        <f>E11*0.75</f>
        <v>7.5</v>
      </c>
      <c r="F13" s="184">
        <f t="shared" si="0"/>
        <v>0</v>
      </c>
      <c r="G13" s="484"/>
      <c r="I13">
        <f t="shared" si="1"/>
        <v>0</v>
      </c>
      <c r="J13">
        <f>SUM(I11:I13)</f>
        <v>0</v>
      </c>
    </row>
    <row r="14" spans="1:10" ht="15.75" customHeight="1" x14ac:dyDescent="0.35">
      <c r="A14" s="160" t="s">
        <v>23</v>
      </c>
      <c r="B14" s="195" t="s">
        <v>166</v>
      </c>
      <c r="C14" s="363">
        <f>VLOOKUP(ship_type,recbestunderway,4,FALSE)</f>
        <v>1</v>
      </c>
      <c r="D14" s="265" t="b">
        <v>0</v>
      </c>
      <c r="E14" s="81">
        <v>10</v>
      </c>
      <c r="F14" s="184">
        <f t="shared" si="0"/>
        <v>0</v>
      </c>
      <c r="G14" s="484"/>
      <c r="I14">
        <f>IF(D14,1,0)</f>
        <v>0</v>
      </c>
    </row>
    <row r="15" spans="1:10" ht="15.75" customHeight="1" x14ac:dyDescent="0.35">
      <c r="A15" s="267"/>
      <c r="B15" s="170"/>
      <c r="C15" s="363" t="str">
        <f>VLOOKUP(ship_type,recbetterunderway,4,FALSE)</f>
        <v>-</v>
      </c>
      <c r="D15" s="265" t="b">
        <v>0</v>
      </c>
      <c r="E15" s="81">
        <f>0.85*E14</f>
        <v>8.5</v>
      </c>
      <c r="F15" s="184">
        <f t="shared" si="0"/>
        <v>0</v>
      </c>
      <c r="G15" s="484"/>
      <c r="H15" t="str">
        <f>IF(J16&gt;1,"Entry error, select one answer","")</f>
        <v/>
      </c>
      <c r="I15">
        <f t="shared" si="1"/>
        <v>0</v>
      </c>
    </row>
    <row r="16" spans="1:10" ht="15.75" customHeight="1" x14ac:dyDescent="0.35">
      <c r="A16" s="267"/>
      <c r="B16" s="246"/>
      <c r="C16" s="362" t="str">
        <f>VLOOKUP(ship_type,recgoodunderway,4,FALSE)</f>
        <v>-</v>
      </c>
      <c r="D16" s="265" t="b">
        <v>0</v>
      </c>
      <c r="E16" s="81">
        <f>E14*0.75</f>
        <v>7.5</v>
      </c>
      <c r="F16" s="184">
        <f t="shared" si="0"/>
        <v>0</v>
      </c>
      <c r="G16" s="484"/>
      <c r="I16">
        <f t="shared" si="1"/>
        <v>0</v>
      </c>
      <c r="J16">
        <f>SUM(I14:I16)</f>
        <v>0</v>
      </c>
    </row>
    <row r="17" spans="1:18" ht="15.75" customHeight="1" x14ac:dyDescent="0.35">
      <c r="A17" s="160" t="s">
        <v>58</v>
      </c>
      <c r="B17" s="195" t="s">
        <v>167</v>
      </c>
      <c r="C17" s="363">
        <f>VLOOKUP(ship_type,recbestunderway,5,FALSE)</f>
        <v>3</v>
      </c>
      <c r="D17" s="265" t="b">
        <v>0</v>
      </c>
      <c r="E17" s="81">
        <v>10</v>
      </c>
      <c r="F17" s="184">
        <f t="shared" si="0"/>
        <v>0</v>
      </c>
      <c r="G17" s="484"/>
      <c r="I17">
        <f>IF(D17,1,0)</f>
        <v>0</v>
      </c>
    </row>
    <row r="18" spans="1:18" ht="15.75" customHeight="1" x14ac:dyDescent="0.35">
      <c r="A18" s="267"/>
      <c r="B18" s="170"/>
      <c r="C18" s="363">
        <f>VLOOKUP(ship_type,recbetterunderway,5,FALSE)</f>
        <v>2</v>
      </c>
      <c r="D18" s="265" t="b">
        <v>0</v>
      </c>
      <c r="E18" s="81">
        <f>0.85*E17</f>
        <v>8.5</v>
      </c>
      <c r="F18" s="184">
        <f t="shared" si="0"/>
        <v>0</v>
      </c>
      <c r="G18" s="484"/>
      <c r="H18" t="str">
        <f>IF(J19&gt;1,"Entry error, select one answer","")</f>
        <v/>
      </c>
      <c r="I18">
        <f t="shared" si="1"/>
        <v>0</v>
      </c>
    </row>
    <row r="19" spans="1:18" ht="15.75" customHeight="1" x14ac:dyDescent="0.35">
      <c r="A19" s="267"/>
      <c r="B19" s="246"/>
      <c r="C19" s="362">
        <f>VLOOKUP(ship_type,recgoodunderway,5,FALSE)</f>
        <v>1</v>
      </c>
      <c r="D19" s="265" t="b">
        <v>0</v>
      </c>
      <c r="E19" s="81">
        <f>E17*0.75</f>
        <v>7.5</v>
      </c>
      <c r="F19" s="184">
        <f t="shared" si="0"/>
        <v>0</v>
      </c>
      <c r="G19" s="484"/>
      <c r="I19">
        <f t="shared" si="1"/>
        <v>0</v>
      </c>
      <c r="J19">
        <f>SUM(I17:I19)</f>
        <v>0</v>
      </c>
    </row>
    <row r="20" spans="1:18" ht="35.25" customHeight="1" x14ac:dyDescent="0.35">
      <c r="A20" s="160" t="s">
        <v>59</v>
      </c>
      <c r="B20" s="599" t="s">
        <v>256</v>
      </c>
      <c r="C20" s="600"/>
      <c r="D20" s="264" t="b">
        <v>0</v>
      </c>
      <c r="E20" s="81">
        <v>8</v>
      </c>
      <c r="F20" s="184">
        <f t="shared" ref="F20:F21" si="2">IF(D20,E20,0)</f>
        <v>0</v>
      </c>
      <c r="G20" s="484"/>
      <c r="H20" s="174"/>
      <c r="I20" s="174"/>
      <c r="J20" s="174"/>
      <c r="K20" s="174"/>
      <c r="L20" s="174"/>
      <c r="M20" s="174"/>
      <c r="N20" s="174"/>
      <c r="O20" s="174"/>
      <c r="P20" s="174"/>
      <c r="Q20" s="174"/>
      <c r="R20" s="174"/>
    </row>
    <row r="21" spans="1:18" ht="34.5" customHeight="1" thickBot="1" x14ac:dyDescent="0.4">
      <c r="A21" s="160" t="s">
        <v>60</v>
      </c>
      <c r="B21" s="599" t="s">
        <v>250</v>
      </c>
      <c r="C21" s="600"/>
      <c r="D21" s="450" t="b">
        <v>0</v>
      </c>
      <c r="E21" s="81">
        <v>8</v>
      </c>
      <c r="F21" s="184">
        <f t="shared" si="2"/>
        <v>0</v>
      </c>
      <c r="G21" s="484"/>
      <c r="H21" s="174"/>
      <c r="I21" s="174"/>
      <c r="J21" s="174"/>
      <c r="K21" s="174"/>
      <c r="L21" s="174"/>
      <c r="M21" s="174"/>
      <c r="N21" s="174"/>
      <c r="O21" s="174"/>
      <c r="P21" s="174"/>
      <c r="Q21" s="174"/>
      <c r="R21" s="174"/>
    </row>
    <row r="22" spans="1:18" ht="17.25" customHeight="1" thickTop="1" thickBot="1" x14ac:dyDescent="0.4">
      <c r="A22" s="391"/>
      <c r="B22" s="392"/>
      <c r="C22" s="392"/>
      <c r="D22" s="393"/>
      <c r="E22" s="81"/>
      <c r="G22" s="330"/>
      <c r="H22" s="174"/>
      <c r="I22" s="229"/>
      <c r="J22" s="229"/>
      <c r="K22" s="174"/>
      <c r="L22" s="174"/>
      <c r="M22" s="174"/>
      <c r="N22" s="174"/>
      <c r="O22" s="174"/>
      <c r="P22" s="174"/>
      <c r="Q22" s="174"/>
      <c r="R22" s="174"/>
    </row>
    <row r="23" spans="1:18" ht="22.5" customHeight="1" thickBot="1" x14ac:dyDescent="0.4">
      <c r="A23" s="160"/>
      <c r="B23" s="604" t="s">
        <v>269</v>
      </c>
      <c r="C23" s="604"/>
      <c r="D23" s="252">
        <f>F23/E23</f>
        <v>0</v>
      </c>
      <c r="E23" s="25">
        <f>IF(shiptypenum&lt;5,SUM(#REF!+#REF!+#REF!+#REF!+E20+E17+E14+E11+E8),IF(shiptypenum=8,SUM(#REF!+#REF!+#REF!+#REF!+E20+E17+E14+E11+E8),SUM(E21,E20,E17,E14,E11,E8)))</f>
        <v>56</v>
      </c>
      <c r="F23" s="184">
        <f>SUM(F8:F21)</f>
        <v>0</v>
      </c>
      <c r="G23" s="330"/>
      <c r="H23" s="174"/>
      <c r="I23" s="229"/>
      <c r="J23" s="229"/>
      <c r="K23" s="174"/>
      <c r="L23" s="174"/>
      <c r="M23" s="174"/>
      <c r="N23" s="174"/>
      <c r="O23" s="174"/>
      <c r="P23" s="174"/>
      <c r="Q23" s="174"/>
      <c r="R23" s="174"/>
    </row>
    <row r="24" spans="1:18" ht="22.5" customHeight="1" thickBot="1" x14ac:dyDescent="0.4">
      <c r="A24" s="160"/>
      <c r="B24" s="231"/>
      <c r="C24" s="231"/>
      <c r="D24" s="261"/>
      <c r="E24" s="262"/>
      <c r="G24" s="330"/>
      <c r="H24" s="174"/>
      <c r="I24" s="229"/>
      <c r="J24" s="229"/>
      <c r="K24" s="174"/>
      <c r="L24" s="174"/>
      <c r="M24" s="174"/>
      <c r="N24" s="174"/>
      <c r="O24" s="174"/>
      <c r="P24" s="174"/>
      <c r="Q24" s="174"/>
      <c r="R24" s="174"/>
    </row>
    <row r="25" spans="1:18" ht="87" customHeight="1" thickTop="1" thickBot="1" x14ac:dyDescent="0.4">
      <c r="A25" s="258" t="s">
        <v>172</v>
      </c>
      <c r="B25" s="601" t="s">
        <v>270</v>
      </c>
      <c r="C25" s="602"/>
      <c r="D25" s="463" t="s">
        <v>26</v>
      </c>
      <c r="E25" s="189" t="s">
        <v>24</v>
      </c>
      <c r="F25" s="189" t="s">
        <v>25</v>
      </c>
      <c r="G25" s="484"/>
    </row>
    <row r="26" spans="1:18" ht="82.5" customHeight="1" thickTop="1" thickBot="1" x14ac:dyDescent="0.4">
      <c r="A26" s="260"/>
      <c r="B26" s="586" t="s">
        <v>169</v>
      </c>
      <c r="C26" s="587"/>
      <c r="D26" s="462" t="s">
        <v>261</v>
      </c>
      <c r="E26" s="165"/>
      <c r="G26" s="467"/>
    </row>
    <row r="27" spans="1:18" x14ac:dyDescent="0.35">
      <c r="A27" s="160" t="s">
        <v>258</v>
      </c>
      <c r="B27" s="234" t="s">
        <v>414</v>
      </c>
      <c r="C27" s="364">
        <f>VLOOKUP(ship_type,recbesthomeport,2,FALSE)</f>
        <v>2</v>
      </c>
      <c r="D27" s="265" t="b">
        <v>0</v>
      </c>
      <c r="E27" s="81">
        <v>10</v>
      </c>
      <c r="F27" s="184">
        <f>IF(D27,IF(C27="-",0,E27),0)</f>
        <v>0</v>
      </c>
      <c r="G27" s="484"/>
      <c r="I27">
        <f>IF(D27,1,0)</f>
        <v>0</v>
      </c>
    </row>
    <row r="28" spans="1:18" x14ac:dyDescent="0.35">
      <c r="A28" s="160"/>
      <c r="B28" s="58"/>
      <c r="C28" s="364">
        <f>VLOOKUP(ship_type,recbetterhomeport,2,FALSE)</f>
        <v>1</v>
      </c>
      <c r="D28" s="265" t="b">
        <v>0</v>
      </c>
      <c r="E28" s="81">
        <f>0.85*E27</f>
        <v>8.5</v>
      </c>
      <c r="F28" s="184">
        <f t="shared" ref="F28:F41" si="3">IF(D28,IF(C28="-",0,E28),0)</f>
        <v>0</v>
      </c>
      <c r="G28" s="484"/>
      <c r="H28" t="str">
        <f>IF(J29&gt;1,"Entry error, select one answer","")</f>
        <v/>
      </c>
      <c r="I28">
        <f t="shared" ref="I28:I29" si="4">IF(D28,1,0)</f>
        <v>0</v>
      </c>
    </row>
    <row r="29" spans="1:18" x14ac:dyDescent="0.35">
      <c r="A29" s="160"/>
      <c r="B29" s="256"/>
      <c r="C29" s="365" t="str">
        <f>VLOOKUP(ship_type,recgoodhomeport,2,FALSE)</f>
        <v>-</v>
      </c>
      <c r="D29" s="265" t="b">
        <v>0</v>
      </c>
      <c r="E29" s="81">
        <f>E27*0.75</f>
        <v>7.5</v>
      </c>
      <c r="F29" s="184">
        <f t="shared" si="3"/>
        <v>0</v>
      </c>
      <c r="G29" s="484"/>
      <c r="I29">
        <f t="shared" si="4"/>
        <v>0</v>
      </c>
      <c r="J29">
        <f>SUM(I27:I29)</f>
        <v>0</v>
      </c>
    </row>
    <row r="30" spans="1:18" x14ac:dyDescent="0.35">
      <c r="A30" s="160" t="s">
        <v>259</v>
      </c>
      <c r="B30" s="195" t="s">
        <v>165</v>
      </c>
      <c r="C30" s="366">
        <f>VLOOKUP(ship_type,recbesthomeport,3,FALSE)</f>
        <v>1</v>
      </c>
      <c r="D30" s="265" t="b">
        <v>0</v>
      </c>
      <c r="E30" s="81">
        <v>10</v>
      </c>
      <c r="F30" s="184">
        <f t="shared" si="3"/>
        <v>0</v>
      </c>
      <c r="G30" s="484"/>
      <c r="I30">
        <f>IF(D30,1,0)</f>
        <v>0</v>
      </c>
    </row>
    <row r="31" spans="1:18" x14ac:dyDescent="0.35">
      <c r="A31" s="169"/>
      <c r="B31" s="170"/>
      <c r="C31" s="366" t="str">
        <f>VLOOKUP(ship_type,recbetterhomeport,3,FALSE)</f>
        <v>-</v>
      </c>
      <c r="D31" s="265" t="b">
        <v>0</v>
      </c>
      <c r="E31" s="81">
        <f>0.85*E30</f>
        <v>8.5</v>
      </c>
      <c r="F31" s="184">
        <f t="shared" si="3"/>
        <v>0</v>
      </c>
      <c r="G31" s="484"/>
      <c r="H31" t="str">
        <f>IF(J32&gt;1,"Entry error, select one answer","")</f>
        <v/>
      </c>
      <c r="I31">
        <f t="shared" ref="I31:I32" si="5">IF(D31,1,0)</f>
        <v>0</v>
      </c>
    </row>
    <row r="32" spans="1:18" x14ac:dyDescent="0.35">
      <c r="A32" s="169"/>
      <c r="B32" s="246"/>
      <c r="C32" s="365" t="str">
        <f>VLOOKUP(ship_type,recgoodhomeport,3,FALSE)</f>
        <v>-</v>
      </c>
      <c r="D32" s="265" t="b">
        <v>0</v>
      </c>
      <c r="E32" s="81">
        <f>E30*0.75</f>
        <v>7.5</v>
      </c>
      <c r="F32" s="184">
        <f t="shared" si="3"/>
        <v>0</v>
      </c>
      <c r="G32" s="484"/>
      <c r="I32">
        <f t="shared" si="5"/>
        <v>0</v>
      </c>
      <c r="J32">
        <f>SUM(I30:I32)</f>
        <v>0</v>
      </c>
    </row>
    <row r="33" spans="1:18" x14ac:dyDescent="0.35">
      <c r="A33" s="160" t="s">
        <v>260</v>
      </c>
      <c r="B33" s="195" t="s">
        <v>166</v>
      </c>
      <c r="C33" s="366">
        <f>VLOOKUP(ship_type,recbesthomeport,4,FALSE)</f>
        <v>4</v>
      </c>
      <c r="D33" s="265" t="b">
        <v>0</v>
      </c>
      <c r="E33" s="81">
        <v>10</v>
      </c>
      <c r="F33" s="184">
        <f t="shared" si="3"/>
        <v>0</v>
      </c>
      <c r="G33" s="484"/>
      <c r="I33">
        <f>IF(D33,1,0)</f>
        <v>0</v>
      </c>
    </row>
    <row r="34" spans="1:18" x14ac:dyDescent="0.35">
      <c r="A34" s="267"/>
      <c r="B34" s="170"/>
      <c r="C34" s="366">
        <f>VLOOKUP(ship_type,recbetterhomeport,4,FALSE)</f>
        <v>2</v>
      </c>
      <c r="D34" s="265" t="b">
        <v>0</v>
      </c>
      <c r="E34" s="81">
        <f>0.85*E33</f>
        <v>8.5</v>
      </c>
      <c r="F34" s="184">
        <f t="shared" si="3"/>
        <v>0</v>
      </c>
      <c r="G34" s="484"/>
      <c r="H34" t="str">
        <f>IF(J35&gt;1,"Entry error, select one answer","")</f>
        <v/>
      </c>
      <c r="I34">
        <f t="shared" ref="I34:I35" si="6">IF(D34,1,0)</f>
        <v>0</v>
      </c>
    </row>
    <row r="35" spans="1:18" x14ac:dyDescent="0.35">
      <c r="A35" s="267"/>
      <c r="B35" s="246"/>
      <c r="C35" s="365">
        <f>VLOOKUP(ship_type,recgoodhomeport,4,FALSE)</f>
        <v>1</v>
      </c>
      <c r="D35" s="265" t="b">
        <v>0</v>
      </c>
      <c r="E35" s="81">
        <f>E33*0.75</f>
        <v>7.5</v>
      </c>
      <c r="F35" s="184">
        <f t="shared" si="3"/>
        <v>0</v>
      </c>
      <c r="G35" s="484"/>
      <c r="I35">
        <f t="shared" si="6"/>
        <v>0</v>
      </c>
      <c r="J35">
        <f>SUM(I33:I35)</f>
        <v>0</v>
      </c>
    </row>
    <row r="36" spans="1:18" x14ac:dyDescent="0.35">
      <c r="A36" s="160" t="s">
        <v>262</v>
      </c>
      <c r="B36" s="195" t="s">
        <v>167</v>
      </c>
      <c r="C36" s="366">
        <f>VLOOKUP(ship_type,recbesthomeport,5,FALSE)</f>
        <v>1</v>
      </c>
      <c r="D36" s="265" t="b">
        <v>0</v>
      </c>
      <c r="E36" s="81">
        <v>10</v>
      </c>
      <c r="F36" s="184">
        <f t="shared" si="3"/>
        <v>0</v>
      </c>
      <c r="G36" s="484"/>
      <c r="I36">
        <f>IF(D36,1,0)</f>
        <v>0</v>
      </c>
    </row>
    <row r="37" spans="1:18" x14ac:dyDescent="0.35">
      <c r="A37" s="267"/>
      <c r="B37" s="170"/>
      <c r="C37" s="366">
        <f>VLOOKUP(ship_type,recbetterhomeport,5,FALSE)</f>
        <v>0</v>
      </c>
      <c r="D37" s="265" t="b">
        <v>0</v>
      </c>
      <c r="E37" s="81">
        <f>0.85*E36</f>
        <v>8.5</v>
      </c>
      <c r="F37" s="184">
        <f t="shared" si="3"/>
        <v>0</v>
      </c>
      <c r="G37" s="484"/>
      <c r="H37" t="str">
        <f>IF(J38&gt;1,"Entry error, select one answer","")</f>
        <v/>
      </c>
      <c r="I37">
        <f t="shared" ref="I37:I38" si="7">IF(D37,1,0)</f>
        <v>0</v>
      </c>
    </row>
    <row r="38" spans="1:18" x14ac:dyDescent="0.35">
      <c r="A38" s="267"/>
      <c r="B38" s="246"/>
      <c r="C38" s="365" t="str">
        <f>VLOOKUP(ship_type,recgoodhomeport,5,FALSE)</f>
        <v>-</v>
      </c>
      <c r="D38" s="265" t="b">
        <v>0</v>
      </c>
      <c r="E38" s="81">
        <f>E36*0.75</f>
        <v>7.5</v>
      </c>
      <c r="F38" s="184">
        <f t="shared" si="3"/>
        <v>0</v>
      </c>
      <c r="G38" s="484"/>
      <c r="I38">
        <f t="shared" si="7"/>
        <v>0</v>
      </c>
      <c r="J38">
        <f>SUM(I36:I38)</f>
        <v>0</v>
      </c>
    </row>
    <row r="39" spans="1:18" x14ac:dyDescent="0.35">
      <c r="A39" s="160" t="s">
        <v>263</v>
      </c>
      <c r="B39" s="195" t="s">
        <v>168</v>
      </c>
      <c r="C39" s="366">
        <f>VLOOKUP(ship_type,recbesthomeport,6,FALSE)</f>
        <v>2</v>
      </c>
      <c r="D39" s="265" t="b">
        <v>0</v>
      </c>
      <c r="E39" s="81">
        <v>10</v>
      </c>
      <c r="F39" s="184">
        <f t="shared" si="3"/>
        <v>0</v>
      </c>
      <c r="G39" s="484"/>
      <c r="I39">
        <f>IF(D39,1,0)</f>
        <v>0</v>
      </c>
    </row>
    <row r="40" spans="1:18" x14ac:dyDescent="0.35">
      <c r="A40" s="267"/>
      <c r="B40" s="173"/>
      <c r="C40" s="366">
        <f>VLOOKUP(ship_type,recbetterhomeport,6,FALSE)</f>
        <v>1</v>
      </c>
      <c r="D40" s="265" t="b">
        <v>0</v>
      </c>
      <c r="E40" s="81">
        <f>0.85*E39</f>
        <v>8.5</v>
      </c>
      <c r="F40" s="184">
        <f t="shared" si="3"/>
        <v>0</v>
      </c>
      <c r="G40" s="484"/>
      <c r="H40" t="str">
        <f>IF(J41&gt;1,"Entry error, select one answer","")</f>
        <v/>
      </c>
      <c r="I40">
        <f t="shared" ref="I40:I41" si="8">IF(D40,1,0)</f>
        <v>0</v>
      </c>
    </row>
    <row r="41" spans="1:18" ht="19.5" customHeight="1" x14ac:dyDescent="0.35">
      <c r="A41" s="267"/>
      <c r="B41" s="246"/>
      <c r="C41" s="365" t="str">
        <f>VLOOKUP(ship_type,recgoodhomeport,6,FALSE)</f>
        <v>-</v>
      </c>
      <c r="D41" s="265" t="b">
        <v>0</v>
      </c>
      <c r="E41" s="81">
        <f>E39*0.75</f>
        <v>7.5</v>
      </c>
      <c r="F41" s="184">
        <f t="shared" si="3"/>
        <v>0</v>
      </c>
      <c r="G41" s="484"/>
      <c r="I41">
        <f t="shared" si="8"/>
        <v>0</v>
      </c>
      <c r="J41">
        <f>SUM(I39:I41)</f>
        <v>0</v>
      </c>
    </row>
    <row r="42" spans="1:18" ht="45.75" customHeight="1" x14ac:dyDescent="0.35">
      <c r="A42" s="160" t="s">
        <v>264</v>
      </c>
      <c r="B42" s="599" t="s">
        <v>174</v>
      </c>
      <c r="C42" s="600"/>
      <c r="D42" s="264" t="b">
        <v>0</v>
      </c>
      <c r="E42" s="81">
        <v>8</v>
      </c>
      <c r="F42" s="184">
        <f t="shared" ref="F42:F43" si="9">IF(D42,E42,0)</f>
        <v>0</v>
      </c>
      <c r="G42" s="484"/>
      <c r="H42" s="174"/>
      <c r="I42" s="174"/>
      <c r="J42" s="174"/>
      <c r="K42" s="174"/>
      <c r="L42" s="174"/>
      <c r="M42" s="174"/>
      <c r="N42" s="174"/>
      <c r="O42" s="174"/>
      <c r="P42" s="174"/>
      <c r="Q42" s="174"/>
      <c r="R42" s="174"/>
    </row>
    <row r="43" spans="1:18" ht="45.75" customHeight="1" thickBot="1" x14ac:dyDescent="0.4">
      <c r="A43" s="160" t="s">
        <v>265</v>
      </c>
      <c r="B43" s="599" t="s">
        <v>250</v>
      </c>
      <c r="C43" s="600"/>
      <c r="D43" s="264" t="b">
        <v>0</v>
      </c>
      <c r="E43" s="81">
        <v>8</v>
      </c>
      <c r="F43" s="184">
        <f t="shared" si="9"/>
        <v>0</v>
      </c>
      <c r="G43" s="330"/>
      <c r="H43" s="174"/>
      <c r="I43" s="174"/>
      <c r="J43" s="174"/>
      <c r="K43" s="174"/>
      <c r="L43" s="174"/>
      <c r="M43" s="174"/>
      <c r="N43" s="174"/>
      <c r="O43" s="174"/>
      <c r="P43" s="174"/>
      <c r="Q43" s="174"/>
      <c r="R43" s="174"/>
    </row>
    <row r="44" spans="1:18" ht="19.5" customHeight="1" thickTop="1" thickBot="1" x14ac:dyDescent="0.4">
      <c r="A44" s="391"/>
      <c r="B44" s="392"/>
      <c r="C44" s="392"/>
      <c r="D44" s="394"/>
      <c r="E44" s="81"/>
      <c r="G44" s="474"/>
      <c r="H44" s="174"/>
      <c r="I44" s="174"/>
      <c r="J44" s="174"/>
      <c r="K44" s="174"/>
      <c r="L44" s="174"/>
      <c r="M44" s="174"/>
      <c r="N44" s="174"/>
      <c r="O44" s="174"/>
      <c r="P44" s="174"/>
      <c r="Q44" s="174"/>
      <c r="R44" s="174"/>
    </row>
    <row r="45" spans="1:18" ht="28.5" customHeight="1" thickBot="1" x14ac:dyDescent="0.4">
      <c r="A45" s="160"/>
      <c r="B45" s="604" t="s">
        <v>269</v>
      </c>
      <c r="C45" s="604"/>
      <c r="D45" s="252">
        <f>F45/E45</f>
        <v>0</v>
      </c>
      <c r="E45" s="184">
        <f>IF(shiptypenum&lt;5,SUM(#REF!+#REF!+#REF!+#REF!+#REF!+E42+E39+E36+E33+E30+E27),IF(shiptypenum=8,SUM(E42+E39+E36+E33+E30+E27),SUM(E43+E42+E39+E36+E33+E30+E27)))</f>
        <v>66</v>
      </c>
      <c r="F45" s="184">
        <f>SUM(F27:F43)</f>
        <v>0</v>
      </c>
      <c r="G45" s="330"/>
      <c r="H45" s="174"/>
      <c r="I45" s="229"/>
      <c r="J45" s="229"/>
      <c r="K45" s="174"/>
      <c r="L45" s="174"/>
      <c r="M45" s="174"/>
      <c r="N45" s="174"/>
      <c r="O45" s="174"/>
      <c r="P45" s="174"/>
      <c r="Q45" s="174"/>
      <c r="R45" s="174"/>
    </row>
    <row r="46" spans="1:18" ht="18" customHeight="1" thickBot="1" x14ac:dyDescent="0.4">
      <c r="A46" s="160"/>
      <c r="B46" s="230"/>
      <c r="C46" s="230"/>
      <c r="D46" s="263"/>
      <c r="E46" s="262"/>
      <c r="G46" s="474"/>
      <c r="H46" s="174"/>
      <c r="I46" s="174"/>
      <c r="J46" s="174"/>
      <c r="K46" s="174"/>
      <c r="L46" s="174"/>
      <c r="M46" s="174"/>
      <c r="N46" s="174"/>
      <c r="O46" s="174"/>
      <c r="P46" s="174"/>
      <c r="Q46" s="174"/>
      <c r="R46" s="174"/>
    </row>
    <row r="47" spans="1:18" ht="87" customHeight="1" thickTop="1" thickBot="1" x14ac:dyDescent="0.4">
      <c r="A47" s="257" t="s">
        <v>173</v>
      </c>
      <c r="B47" s="601" t="s">
        <v>272</v>
      </c>
      <c r="C47" s="602"/>
      <c r="D47" s="463" t="s">
        <v>26</v>
      </c>
      <c r="E47" s="189" t="s">
        <v>24</v>
      </c>
      <c r="F47" s="189" t="s">
        <v>25</v>
      </c>
      <c r="G47" s="484"/>
    </row>
    <row r="48" spans="1:18" ht="78.75" customHeight="1" thickTop="1" thickBot="1" x14ac:dyDescent="0.4">
      <c r="A48" s="160"/>
      <c r="B48" s="586" t="s">
        <v>169</v>
      </c>
      <c r="C48" s="587"/>
      <c r="D48" s="462" t="s">
        <v>261</v>
      </c>
      <c r="E48" s="165"/>
      <c r="G48" s="467"/>
    </row>
    <row r="49" spans="1:18" x14ac:dyDescent="0.35">
      <c r="A49" s="160" t="s">
        <v>266</v>
      </c>
      <c r="B49" s="234" t="s">
        <v>414</v>
      </c>
      <c r="C49" s="364">
        <f>VLOOKUP(ship_type,recbestshipyard,2,FALSE)</f>
        <v>2</v>
      </c>
      <c r="D49" s="265" t="b">
        <v>0</v>
      </c>
      <c r="E49" s="81">
        <v>10</v>
      </c>
      <c r="F49" s="184">
        <f>IF(D49,IF(C49="-",0,E49),0)</f>
        <v>0</v>
      </c>
      <c r="G49" s="484"/>
      <c r="I49">
        <f>IF(D49,1,0)</f>
        <v>0</v>
      </c>
    </row>
    <row r="50" spans="1:18" x14ac:dyDescent="0.35">
      <c r="A50" s="160"/>
      <c r="B50" s="58"/>
      <c r="C50" s="364">
        <f>VLOOKUP(ship_type,recbettershipyard,2,FALSE)</f>
        <v>1</v>
      </c>
      <c r="D50" s="265" t="b">
        <v>0</v>
      </c>
      <c r="E50" s="81">
        <f>0.85*E49</f>
        <v>8.5</v>
      </c>
      <c r="F50" s="184">
        <f t="shared" ref="F50:F63" si="10">IF(D50,IF(C50="-",0,E50),0)</f>
        <v>0</v>
      </c>
      <c r="G50" s="484"/>
      <c r="H50" t="str">
        <f>IF(J51&gt;1,"Entry error, select one answer","")</f>
        <v/>
      </c>
      <c r="I50">
        <f t="shared" ref="I50:I51" si="11">IF(D50,1,0)</f>
        <v>0</v>
      </c>
    </row>
    <row r="51" spans="1:18" x14ac:dyDescent="0.35">
      <c r="A51" s="160"/>
      <c r="B51" s="256"/>
      <c r="C51" s="364" t="str">
        <f>VLOOKUP(ship_type,recgoodshipyard,2,FALSE)</f>
        <v>-</v>
      </c>
      <c r="D51" s="265" t="b">
        <v>0</v>
      </c>
      <c r="E51" s="81">
        <f>E49*0.75</f>
        <v>7.5</v>
      </c>
      <c r="F51" s="184">
        <f t="shared" si="10"/>
        <v>0</v>
      </c>
      <c r="G51" s="484"/>
      <c r="I51">
        <f t="shared" si="11"/>
        <v>0</v>
      </c>
      <c r="J51">
        <f>SUM(I49:I51)</f>
        <v>0</v>
      </c>
    </row>
    <row r="52" spans="1:18" x14ac:dyDescent="0.35">
      <c r="A52" s="160" t="s">
        <v>267</v>
      </c>
      <c r="B52" s="195" t="s">
        <v>165</v>
      </c>
      <c r="C52" s="367">
        <f>VLOOKUP(ship_type,recbestshipyard,3,FALSE)</f>
        <v>1</v>
      </c>
      <c r="D52" s="265" t="b">
        <v>0</v>
      </c>
      <c r="E52" s="81">
        <v>10</v>
      </c>
      <c r="F52" s="184">
        <f t="shared" si="10"/>
        <v>0</v>
      </c>
      <c r="G52" s="484"/>
      <c r="I52">
        <f>IF(D52,1,0)</f>
        <v>0</v>
      </c>
    </row>
    <row r="53" spans="1:18" x14ac:dyDescent="0.35">
      <c r="A53" s="169"/>
      <c r="B53" s="170"/>
      <c r="C53" s="366" t="str">
        <f>VLOOKUP(ship_type,recbettershipyard,3,FALSE)</f>
        <v>-</v>
      </c>
      <c r="D53" s="265" t="b">
        <v>0</v>
      </c>
      <c r="E53" s="81">
        <f>0.85*E52</f>
        <v>8.5</v>
      </c>
      <c r="F53" s="184">
        <f t="shared" si="10"/>
        <v>0</v>
      </c>
      <c r="G53" s="484"/>
      <c r="H53" t="str">
        <f>IF(J54&gt;1,"Entry error, select one answer","")</f>
        <v/>
      </c>
      <c r="I53">
        <f t="shared" ref="I53:I54" si="12">IF(D53,1,0)</f>
        <v>0</v>
      </c>
    </row>
    <row r="54" spans="1:18" x14ac:dyDescent="0.35">
      <c r="A54" s="169"/>
      <c r="B54" s="246"/>
      <c r="C54" s="364" t="str">
        <f>VLOOKUP(ship_type,recgoodshipyard,3,FALSE)</f>
        <v>-</v>
      </c>
      <c r="D54" s="265" t="b">
        <v>0</v>
      </c>
      <c r="E54" s="81">
        <f>E52*0.75</f>
        <v>7.5</v>
      </c>
      <c r="F54" s="184">
        <f t="shared" si="10"/>
        <v>0</v>
      </c>
      <c r="G54" s="484"/>
      <c r="I54">
        <f t="shared" si="12"/>
        <v>0</v>
      </c>
      <c r="J54">
        <f>SUM(I52:I54)</f>
        <v>0</v>
      </c>
    </row>
    <row r="55" spans="1:18" x14ac:dyDescent="0.35">
      <c r="A55" s="160" t="s">
        <v>273</v>
      </c>
      <c r="B55" s="195" t="s">
        <v>166</v>
      </c>
      <c r="C55" s="367">
        <f>VLOOKUP(ship_type,recbestshipyard,4,FALSE)</f>
        <v>1</v>
      </c>
      <c r="D55" s="265" t="b">
        <v>0</v>
      </c>
      <c r="E55" s="81">
        <v>10</v>
      </c>
      <c r="F55" s="184">
        <f t="shared" si="10"/>
        <v>0</v>
      </c>
      <c r="G55" s="484"/>
      <c r="I55">
        <f>IF(D55,1,0)</f>
        <v>0</v>
      </c>
    </row>
    <row r="56" spans="1:18" x14ac:dyDescent="0.35">
      <c r="A56" s="267"/>
      <c r="B56" s="170"/>
      <c r="C56" s="366" t="str">
        <f>VLOOKUP(ship_type,recbettershipyard,4,FALSE)</f>
        <v>-</v>
      </c>
      <c r="D56" s="265" t="b">
        <v>0</v>
      </c>
      <c r="E56" s="81">
        <f>0.85*E55</f>
        <v>8.5</v>
      </c>
      <c r="F56" s="184">
        <f t="shared" si="10"/>
        <v>0</v>
      </c>
      <c r="G56" s="484"/>
      <c r="H56" t="str">
        <f>IF(J57&gt;1,"Entry error, select one answer","")</f>
        <v/>
      </c>
      <c r="I56">
        <f t="shared" ref="I56:I57" si="13">IF(D56,1,0)</f>
        <v>0</v>
      </c>
    </row>
    <row r="57" spans="1:18" x14ac:dyDescent="0.35">
      <c r="A57" s="267"/>
      <c r="B57" s="246"/>
      <c r="C57" s="366" t="str">
        <f>VLOOKUP(ship_type,recgoodshipyard,4,FALSE)</f>
        <v>-</v>
      </c>
      <c r="D57" s="265" t="b">
        <v>0</v>
      </c>
      <c r="E57" s="81">
        <f>E55*0.75</f>
        <v>7.5</v>
      </c>
      <c r="F57" s="184">
        <f t="shared" si="10"/>
        <v>0</v>
      </c>
      <c r="G57" s="484"/>
      <c r="I57">
        <f t="shared" si="13"/>
        <v>0</v>
      </c>
      <c r="J57">
        <f>SUM(I55:I57)</f>
        <v>0</v>
      </c>
    </row>
    <row r="58" spans="1:18" x14ac:dyDescent="0.35">
      <c r="A58" s="160" t="s">
        <v>275</v>
      </c>
      <c r="B58" s="195" t="s">
        <v>167</v>
      </c>
      <c r="C58" s="367">
        <f>VLOOKUP(ship_type,recbestshipyard,5,FALSE)</f>
        <v>2</v>
      </c>
      <c r="D58" s="265" t="b">
        <v>0</v>
      </c>
      <c r="E58" s="81">
        <v>10</v>
      </c>
      <c r="F58" s="184">
        <f t="shared" si="10"/>
        <v>0</v>
      </c>
      <c r="G58" s="484"/>
      <c r="I58">
        <f>IF(D58,1,0)</f>
        <v>0</v>
      </c>
    </row>
    <row r="59" spans="1:18" x14ac:dyDescent="0.35">
      <c r="A59" s="267"/>
      <c r="B59" s="170"/>
      <c r="C59" s="366">
        <f>VLOOKUP(ship_type,recbettershipyard,5,FALSE)</f>
        <v>1</v>
      </c>
      <c r="D59" s="265" t="b">
        <v>0</v>
      </c>
      <c r="E59" s="81">
        <f>0.85*E58</f>
        <v>8.5</v>
      </c>
      <c r="F59" s="184">
        <f t="shared" si="10"/>
        <v>0</v>
      </c>
      <c r="G59" s="484"/>
      <c r="H59" t="str">
        <f>IF(J60&gt;1,"Entry error, select one answer","")</f>
        <v/>
      </c>
      <c r="I59">
        <f t="shared" ref="I59:I60" si="14">IF(D59,1,0)</f>
        <v>0</v>
      </c>
    </row>
    <row r="60" spans="1:18" x14ac:dyDescent="0.35">
      <c r="A60" s="267"/>
      <c r="B60" s="234"/>
      <c r="C60" s="365" t="str">
        <f>VLOOKUP(ship_type,recgoodshipyard,5,FALSE)</f>
        <v>-</v>
      </c>
      <c r="D60" s="265" t="b">
        <v>0</v>
      </c>
      <c r="E60" s="81">
        <f>E58*0.75</f>
        <v>7.5</v>
      </c>
      <c r="F60" s="184">
        <f t="shared" si="10"/>
        <v>0</v>
      </c>
      <c r="G60" s="484"/>
      <c r="I60">
        <f t="shared" si="14"/>
        <v>0</v>
      </c>
      <c r="J60">
        <f>SUM(I58:I60)</f>
        <v>0</v>
      </c>
    </row>
    <row r="61" spans="1:18" x14ac:dyDescent="0.35">
      <c r="A61" s="160" t="s">
        <v>276</v>
      </c>
      <c r="B61" s="270" t="s">
        <v>168</v>
      </c>
      <c r="C61" s="366">
        <f>VLOOKUP(ship_type,recbestshipyard,6,FALSE)</f>
        <v>6</v>
      </c>
      <c r="D61" s="265" t="b">
        <v>0</v>
      </c>
      <c r="E61" s="81">
        <v>10</v>
      </c>
      <c r="F61" s="184">
        <f t="shared" si="10"/>
        <v>0</v>
      </c>
      <c r="G61" s="484"/>
      <c r="I61">
        <f>IF(D61,1,0)</f>
        <v>0</v>
      </c>
    </row>
    <row r="62" spans="1:18" x14ac:dyDescent="0.35">
      <c r="A62" s="267"/>
      <c r="B62" s="173"/>
      <c r="C62" s="366">
        <f>VLOOKUP(ship_type,recbettershipyard,6,FALSE)</f>
        <v>4</v>
      </c>
      <c r="D62" s="265" t="b">
        <v>0</v>
      </c>
      <c r="E62" s="81">
        <f>0.85*E61</f>
        <v>8.5</v>
      </c>
      <c r="F62" s="184">
        <f t="shared" si="10"/>
        <v>0</v>
      </c>
      <c r="G62" s="484"/>
      <c r="H62" t="str">
        <f>IF(J63&gt;1,"Entry error, select one answer","")</f>
        <v/>
      </c>
      <c r="I62">
        <f t="shared" ref="I62:I63" si="15">IF(D62,1,0)</f>
        <v>0</v>
      </c>
    </row>
    <row r="63" spans="1:18" x14ac:dyDescent="0.35">
      <c r="A63" s="267"/>
      <c r="B63" s="246"/>
      <c r="C63" s="365">
        <f>VLOOKUP(ship_type,recgoodshipyard,6,FALSE)</f>
        <v>2</v>
      </c>
      <c r="D63" s="265" t="b">
        <v>0</v>
      </c>
      <c r="E63" s="81">
        <f>E61*0.75</f>
        <v>7.5</v>
      </c>
      <c r="F63" s="184">
        <f t="shared" si="10"/>
        <v>0</v>
      </c>
      <c r="G63" s="484"/>
      <c r="I63">
        <f t="shared" si="15"/>
        <v>0</v>
      </c>
      <c r="J63">
        <f>SUM(I61:I63)</f>
        <v>0</v>
      </c>
    </row>
    <row r="64" spans="1:18" ht="45.75" customHeight="1" x14ac:dyDescent="0.35">
      <c r="A64" s="160" t="s">
        <v>277</v>
      </c>
      <c r="B64" s="607" t="s">
        <v>256</v>
      </c>
      <c r="C64" s="608"/>
      <c r="D64" s="264" t="b">
        <v>0</v>
      </c>
      <c r="E64" s="81">
        <v>8</v>
      </c>
      <c r="F64" s="184">
        <f t="shared" ref="F64:F65" si="16">IF(D64,E64,0)</f>
        <v>0</v>
      </c>
      <c r="G64" s="484"/>
      <c r="H64" s="174"/>
      <c r="I64" s="174"/>
      <c r="J64" s="174"/>
      <c r="K64" s="174"/>
      <c r="L64" s="174"/>
      <c r="M64" s="174"/>
      <c r="N64" s="174"/>
      <c r="O64" s="174"/>
      <c r="P64" s="174"/>
      <c r="Q64" s="174"/>
      <c r="R64" s="174"/>
    </row>
    <row r="65" spans="1:18" ht="45.75" customHeight="1" thickBot="1" x14ac:dyDescent="0.4">
      <c r="A65" s="160" t="s">
        <v>278</v>
      </c>
      <c r="B65" s="605" t="s">
        <v>250</v>
      </c>
      <c r="C65" s="606"/>
      <c r="D65" s="264" t="b">
        <v>0</v>
      </c>
      <c r="E65" s="81">
        <v>8</v>
      </c>
      <c r="F65" s="184">
        <f t="shared" si="16"/>
        <v>0</v>
      </c>
      <c r="G65" s="484"/>
      <c r="H65" s="174"/>
      <c r="I65" s="174"/>
      <c r="J65" s="174"/>
      <c r="K65" s="174"/>
      <c r="L65" s="174"/>
      <c r="M65" s="174"/>
      <c r="N65" s="174"/>
      <c r="O65" s="174"/>
      <c r="P65" s="174"/>
      <c r="Q65" s="174"/>
      <c r="R65" s="174"/>
    </row>
    <row r="66" spans="1:18" ht="22.5" customHeight="1" thickTop="1" thickBot="1" x14ac:dyDescent="0.4">
      <c r="A66" s="269"/>
      <c r="B66" s="392"/>
      <c r="C66" s="392"/>
      <c r="D66" s="395"/>
      <c r="E66" s="25"/>
      <c r="G66" s="182"/>
      <c r="H66" s="174"/>
      <c r="I66" s="174"/>
      <c r="J66" s="174"/>
      <c r="K66" s="174"/>
      <c r="L66" s="174"/>
      <c r="M66" s="174"/>
      <c r="N66" s="174"/>
      <c r="O66" s="174"/>
      <c r="P66" s="174"/>
      <c r="Q66" s="174"/>
      <c r="R66" s="174"/>
    </row>
    <row r="67" spans="1:18" ht="28.5" customHeight="1" thickBot="1" x14ac:dyDescent="0.4">
      <c r="A67" s="235"/>
      <c r="B67" s="604" t="s">
        <v>269</v>
      </c>
      <c r="C67" s="604"/>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4"/>
      <c r="C68" s="504"/>
      <c r="D68" s="510"/>
      <c r="E68" s="81"/>
      <c r="H68" s="174"/>
      <c r="I68" s="503"/>
      <c r="J68" s="503"/>
      <c r="K68" s="174"/>
      <c r="L68" s="174"/>
      <c r="M68" s="174"/>
      <c r="N68" s="174"/>
      <c r="O68" s="174"/>
      <c r="P68" s="174"/>
      <c r="Q68" s="174"/>
      <c r="R68" s="174"/>
    </row>
    <row r="69" spans="1:18" ht="90.75" customHeight="1" thickBot="1" x14ac:dyDescent="0.4">
      <c r="A69" s="235"/>
      <c r="B69" s="609" t="s">
        <v>48</v>
      </c>
      <c r="C69" s="610"/>
      <c r="D69" s="509"/>
      <c r="E69" s="262"/>
      <c r="G69" s="182"/>
      <c r="H69" s="174"/>
      <c r="I69" s="174"/>
      <c r="J69" s="174"/>
      <c r="K69" s="174"/>
      <c r="L69" s="174"/>
      <c r="M69" s="174"/>
      <c r="N69" s="174"/>
      <c r="O69" s="174"/>
      <c r="P69" s="174"/>
      <c r="Q69" s="174"/>
      <c r="R69" s="174"/>
    </row>
    <row r="70" spans="1:18" x14ac:dyDescent="0.35">
      <c r="B70" s="1"/>
    </row>
    <row r="71" spans="1:18" x14ac:dyDescent="0.35">
      <c r="B71" s="603" t="s">
        <v>274</v>
      </c>
      <c r="C71" s="603"/>
      <c r="D71" s="497">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2021-01-22T19:59:27Z</dcterms:modified>
</cp:coreProperties>
</file>